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смета\все сметы и отчеты\2021-2022\"/>
    </mc:Choice>
  </mc:AlternateContent>
  <xr:revisionPtr revIDLastSave="0" documentId="13_ncr:1_{8DA4D1E7-D61C-4A77-9911-E0CDE4668344}" xr6:coauthVersionLast="47" xr6:coauthVersionMax="47" xr10:uidLastSave="{00000000-0000-0000-0000-000000000000}"/>
  <bookViews>
    <workbookView minimized="1" xWindow="7545" yWindow="4560" windowWidth="21600" windowHeight="11385" activeTab="1" xr2:uid="{00000000-000D-0000-FFFF-FFFF00000000}"/>
  </bookViews>
  <sheets>
    <sheet name="План" sheetId="9" r:id="rId1"/>
    <sheet name="Смета" sheetId="10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9" l="1"/>
  <c r="D67" i="9" s="1"/>
  <c r="U45" i="10"/>
  <c r="U44" i="10"/>
  <c r="C66" i="9" s="1"/>
  <c r="D66" i="9" s="1"/>
  <c r="U41" i="10"/>
  <c r="C61" i="9" s="1"/>
  <c r="U42" i="10"/>
  <c r="U43" i="10"/>
  <c r="D61" i="9" l="1"/>
  <c r="M42" i="10"/>
  <c r="M43" i="10"/>
  <c r="M44" i="10"/>
  <c r="M45" i="10"/>
  <c r="M41" i="10"/>
  <c r="J5" i="10"/>
  <c r="P5" i="10"/>
  <c r="U32" i="10" l="1"/>
  <c r="U6" i="10" l="1"/>
  <c r="V6" i="10" s="1"/>
  <c r="T52" i="10"/>
  <c r="S52" i="10"/>
  <c r="R52" i="10"/>
  <c r="M52" i="10"/>
  <c r="L52" i="10"/>
  <c r="G52" i="10"/>
  <c r="F52" i="10"/>
  <c r="V45" i="10"/>
  <c r="V44" i="10"/>
  <c r="V43" i="10"/>
  <c r="V42" i="10"/>
  <c r="V41" i="10"/>
  <c r="V32" i="10"/>
  <c r="U31" i="10"/>
  <c r="V31" i="10" s="1"/>
  <c r="U30" i="10"/>
  <c r="V30" i="10" s="1"/>
  <c r="U29" i="10"/>
  <c r="V29" i="10" s="1"/>
  <c r="U27" i="10"/>
  <c r="V27" i="10" s="1"/>
  <c r="U26" i="10"/>
  <c r="V26" i="10" s="1"/>
  <c r="U25" i="10"/>
  <c r="V25" i="10" s="1"/>
  <c r="U24" i="10"/>
  <c r="V24" i="10" s="1"/>
  <c r="U23" i="10"/>
  <c r="V23" i="10" s="1"/>
  <c r="U22" i="10"/>
  <c r="V22" i="10" s="1"/>
  <c r="U21" i="10"/>
  <c r="V21" i="10" s="1"/>
  <c r="U19" i="10"/>
  <c r="V19" i="10" s="1"/>
  <c r="U18" i="10"/>
  <c r="U17" i="10"/>
  <c r="V17" i="10" s="1"/>
  <c r="U16" i="10"/>
  <c r="V16" i="10" s="1"/>
  <c r="U15" i="10"/>
  <c r="V15" i="10" s="1"/>
  <c r="U14" i="10"/>
  <c r="V14" i="10" s="1"/>
  <c r="U13" i="10"/>
  <c r="V13" i="10" s="1"/>
  <c r="U12" i="10"/>
  <c r="V12" i="10" s="1"/>
  <c r="U11" i="10"/>
  <c r="V11" i="10" s="1"/>
  <c r="U10" i="10"/>
  <c r="V10" i="10" s="1"/>
  <c r="U9" i="10"/>
  <c r="V9" i="10" s="1"/>
  <c r="U8" i="10"/>
  <c r="V8" i="10" s="1"/>
  <c r="U7" i="10"/>
  <c r="V7" i="10" s="1"/>
  <c r="V18" i="10"/>
  <c r="T36" i="10"/>
  <c r="S36" i="10"/>
  <c r="R36" i="10"/>
  <c r="M36" i="10"/>
  <c r="L36" i="10"/>
  <c r="G36" i="10"/>
  <c r="F36" i="10"/>
  <c r="G34" i="10"/>
  <c r="U34" i="10" s="1"/>
  <c r="V34" i="10" s="1"/>
  <c r="F34" i="10"/>
  <c r="T32" i="10"/>
  <c r="S32" i="10"/>
  <c r="R32" i="10"/>
  <c r="M32" i="10"/>
  <c r="L32" i="10"/>
  <c r="G32" i="10"/>
  <c r="F32" i="10"/>
  <c r="M31" i="10"/>
  <c r="L31" i="10"/>
  <c r="G31" i="10"/>
  <c r="F31" i="10"/>
  <c r="M30" i="10"/>
  <c r="G30" i="10"/>
  <c r="F30" i="10"/>
  <c r="T29" i="10"/>
  <c r="S29" i="10"/>
  <c r="R29" i="10"/>
  <c r="M29" i="10"/>
  <c r="L29" i="10"/>
  <c r="G29" i="10"/>
  <c r="F29" i="10"/>
  <c r="T28" i="10"/>
  <c r="S28" i="10"/>
  <c r="R28" i="10"/>
  <c r="M28" i="10"/>
  <c r="L28" i="10"/>
  <c r="G28" i="10"/>
  <c r="F28" i="10"/>
  <c r="T27" i="10"/>
  <c r="S27" i="10"/>
  <c r="R27" i="10"/>
  <c r="M27" i="10"/>
  <c r="L27" i="10"/>
  <c r="G27" i="10"/>
  <c r="F27" i="10"/>
  <c r="T26" i="10"/>
  <c r="S26" i="10"/>
  <c r="R26" i="10"/>
  <c r="M26" i="10"/>
  <c r="L26" i="10"/>
  <c r="G26" i="10"/>
  <c r="F26" i="10"/>
  <c r="T25" i="10"/>
  <c r="S25" i="10"/>
  <c r="R25" i="10"/>
  <c r="M25" i="10"/>
  <c r="L25" i="10"/>
  <c r="G25" i="10"/>
  <c r="F25" i="10"/>
  <c r="T24" i="10"/>
  <c r="S24" i="10"/>
  <c r="R24" i="10"/>
  <c r="M24" i="10"/>
  <c r="L24" i="10"/>
  <c r="G24" i="10"/>
  <c r="F24" i="10"/>
  <c r="T23" i="10"/>
  <c r="S23" i="10"/>
  <c r="R23" i="10"/>
  <c r="M23" i="10"/>
  <c r="L23" i="10"/>
  <c r="G23" i="10"/>
  <c r="F23" i="10"/>
  <c r="T22" i="10"/>
  <c r="S22" i="10"/>
  <c r="R22" i="10"/>
  <c r="M22" i="10"/>
  <c r="L22" i="10"/>
  <c r="G22" i="10"/>
  <c r="F22" i="10"/>
  <c r="T21" i="10"/>
  <c r="S21" i="10"/>
  <c r="R21" i="10"/>
  <c r="M21" i="10"/>
  <c r="L21" i="10"/>
  <c r="G21" i="10"/>
  <c r="F21" i="10"/>
  <c r="T20" i="10"/>
  <c r="S20" i="10"/>
  <c r="R20" i="10"/>
  <c r="M20" i="10"/>
  <c r="L20" i="10"/>
  <c r="G20" i="10"/>
  <c r="F20" i="10"/>
  <c r="T19" i="10"/>
  <c r="S19" i="10"/>
  <c r="R19" i="10"/>
  <c r="M19" i="10"/>
  <c r="L19" i="10"/>
  <c r="G19" i="10"/>
  <c r="F19" i="10"/>
  <c r="T18" i="10"/>
  <c r="S18" i="10"/>
  <c r="R18" i="10"/>
  <c r="M18" i="10"/>
  <c r="L18" i="10"/>
  <c r="G18" i="10"/>
  <c r="F18" i="10"/>
  <c r="M17" i="10"/>
  <c r="L17" i="10"/>
  <c r="G17" i="10"/>
  <c r="F17" i="10"/>
  <c r="T16" i="10"/>
  <c r="S16" i="10"/>
  <c r="R16" i="10"/>
  <c r="M16" i="10"/>
  <c r="L16" i="10"/>
  <c r="G16" i="10"/>
  <c r="F16" i="10"/>
  <c r="T15" i="10"/>
  <c r="S15" i="10"/>
  <c r="R15" i="10"/>
  <c r="M15" i="10"/>
  <c r="L15" i="10"/>
  <c r="G15" i="10"/>
  <c r="F15" i="10"/>
  <c r="T14" i="10"/>
  <c r="S14" i="10"/>
  <c r="R14" i="10"/>
  <c r="M14" i="10"/>
  <c r="L14" i="10"/>
  <c r="G14" i="10"/>
  <c r="F14" i="10"/>
  <c r="T13" i="10"/>
  <c r="S13" i="10"/>
  <c r="R13" i="10"/>
  <c r="M13" i="10"/>
  <c r="L13" i="10"/>
  <c r="G13" i="10"/>
  <c r="F13" i="10"/>
  <c r="T12" i="10"/>
  <c r="S12" i="10"/>
  <c r="R12" i="10"/>
  <c r="M12" i="10"/>
  <c r="L12" i="10"/>
  <c r="G12" i="10"/>
  <c r="F12" i="10"/>
  <c r="T11" i="10"/>
  <c r="S11" i="10"/>
  <c r="R11" i="10"/>
  <c r="M11" i="10"/>
  <c r="L11" i="10"/>
  <c r="G11" i="10"/>
  <c r="F11" i="10"/>
  <c r="T10" i="10"/>
  <c r="S10" i="10"/>
  <c r="R10" i="10"/>
  <c r="M10" i="10"/>
  <c r="L10" i="10"/>
  <c r="G10" i="10"/>
  <c r="F10" i="10"/>
  <c r="T9" i="10"/>
  <c r="S9" i="10"/>
  <c r="R9" i="10"/>
  <c r="M9" i="10"/>
  <c r="L9" i="10"/>
  <c r="G9" i="10"/>
  <c r="F9" i="10"/>
  <c r="T8" i="10"/>
  <c r="S8" i="10"/>
  <c r="R8" i="10"/>
  <c r="M8" i="10"/>
  <c r="L8" i="10"/>
  <c r="G8" i="10"/>
  <c r="F8" i="10"/>
  <c r="T7" i="10"/>
  <c r="S7" i="10"/>
  <c r="R7" i="10"/>
  <c r="M7" i="10"/>
  <c r="L7" i="10"/>
  <c r="G7" i="10"/>
  <c r="F7" i="10"/>
  <c r="T6" i="10"/>
  <c r="S6" i="10"/>
  <c r="R6" i="10"/>
  <c r="M6" i="10"/>
  <c r="L6" i="10"/>
  <c r="G6" i="10"/>
  <c r="F6" i="10"/>
  <c r="Q5" i="10"/>
  <c r="R5" i="10" s="1"/>
  <c r="K5" i="10"/>
  <c r="L5" i="10" s="1"/>
  <c r="U52" i="10" l="1"/>
  <c r="C51" i="9" s="1"/>
  <c r="U20" i="10"/>
  <c r="V20" i="10" s="1"/>
  <c r="U28" i="10"/>
  <c r="V28" i="10" s="1"/>
  <c r="U36" i="10"/>
  <c r="V36" i="10" s="1"/>
  <c r="T5" i="10"/>
  <c r="V52" i="10"/>
  <c r="U46" i="10"/>
  <c r="G5" i="10"/>
  <c r="S5" i="10"/>
  <c r="M5" i="10"/>
  <c r="D25" i="9"/>
  <c r="D51" i="9" l="1"/>
  <c r="C71" i="9"/>
  <c r="U37" i="10"/>
  <c r="U47" i="10" s="1"/>
  <c r="U53" i="10" s="1"/>
  <c r="V46" i="10"/>
  <c r="U5" i="10"/>
  <c r="V5" i="10" s="1"/>
  <c r="V37" i="10"/>
  <c r="V47" i="10" l="1"/>
  <c r="V53" i="10" s="1"/>
  <c r="D26" i="9"/>
  <c r="D38" i="9" l="1"/>
  <c r="D32" i="9" l="1"/>
  <c r="D35" i="9" l="1"/>
  <c r="D23" i="9" l="1"/>
  <c r="D56" i="9" l="1"/>
  <c r="D46" i="9" l="1"/>
  <c r="D39" i="9"/>
  <c r="D37" i="9"/>
  <c r="D36" i="9"/>
  <c r="D34" i="9"/>
  <c r="D33" i="9"/>
  <c r="D31" i="9"/>
  <c r="D30" i="9"/>
  <c r="D29" i="9"/>
  <c r="D28" i="9"/>
  <c r="C27" i="9"/>
  <c r="D24" i="9"/>
  <c r="D22" i="9"/>
  <c r="D16" i="9"/>
  <c r="D15" i="9"/>
  <c r="D14" i="9"/>
  <c r="D13" i="9"/>
  <c r="D12" i="9"/>
  <c r="D11" i="9"/>
  <c r="D10" i="9"/>
  <c r="D9" i="9"/>
  <c r="C8" i="9"/>
  <c r="C31" i="9" l="1"/>
  <c r="C11" i="9"/>
  <c r="C17" i="9"/>
  <c r="D40" i="9"/>
  <c r="D17" i="9"/>
  <c r="C40" i="9" l="1"/>
  <c r="C41" i="9" s="1"/>
  <c r="D41" i="9"/>
  <c r="D71" i="9" s="1"/>
</calcChain>
</file>

<file path=xl/sharedStrings.xml><?xml version="1.0" encoding="utf-8"?>
<sst xmlns="http://schemas.openxmlformats.org/spreadsheetml/2006/main" count="385" uniqueCount="186">
  <si>
    <t>№ п/п</t>
  </si>
  <si>
    <t>Наименование показателя</t>
  </si>
  <si>
    <t>Руб. в месяц</t>
  </si>
  <si>
    <t>Руб. в год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</si>
  <si>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</si>
  <si>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</si>
  <si>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</si>
  <si>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</si>
  <si>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</si>
  <si>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</si>
  <si>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</si>
  <si>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</si>
  <si>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</si>
  <si>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Заработная плата персонала управления</t>
  </si>
  <si>
    <t>Канцелярские принадлежности и почтовые расходы</t>
  </si>
  <si>
    <t>Содержание оргтехники</t>
  </si>
  <si>
    <t>Расчетно-кассовое обслуживание</t>
  </si>
  <si>
    <t>Услуги связи</t>
  </si>
  <si>
    <t>Повышение квалификации</t>
  </si>
  <si>
    <t>Программное обеспечение</t>
  </si>
  <si>
    <t>Итого:</t>
  </si>
  <si>
    <t>Заработная плата обслуживающего персонала</t>
  </si>
  <si>
    <t>2.1</t>
  </si>
  <si>
    <t>2.2</t>
  </si>
  <si>
    <t>2.3</t>
  </si>
  <si>
    <t>2.4</t>
  </si>
  <si>
    <t>2.5</t>
  </si>
  <si>
    <t>2.6</t>
  </si>
  <si>
    <t>2.7</t>
  </si>
  <si>
    <t>2.8</t>
  </si>
  <si>
    <t>Примечание</t>
  </si>
  <si>
    <t>Поставщик</t>
  </si>
  <si>
    <t>ООО "О.С.Б.-Техно"</t>
  </si>
  <si>
    <t>Видеонаблюдение</t>
  </si>
  <si>
    <t>ЗАО "Квантум"</t>
  </si>
  <si>
    <t>Охрана</t>
  </si>
  <si>
    <t>Содержание и обслуживание лифтов</t>
  </si>
  <si>
    <t>Замена и очистка ковров</t>
  </si>
  <si>
    <t>ЗАО "Линдстрем"</t>
  </si>
  <si>
    <t>2.9</t>
  </si>
  <si>
    <t>2.10</t>
  </si>
  <si>
    <t>2.11</t>
  </si>
  <si>
    <t>2.12</t>
  </si>
  <si>
    <t>2.13</t>
  </si>
  <si>
    <t>2.14</t>
  </si>
  <si>
    <t>2.15</t>
  </si>
  <si>
    <t>Дезинфекция</t>
  </si>
  <si>
    <t>ОАО "Станция дезинфекции"</t>
  </si>
  <si>
    <t>Вывоз и утилизация отходов</t>
  </si>
  <si>
    <t>ТО системы кондиционирования</t>
  </si>
  <si>
    <t>Радиоточки</t>
  </si>
  <si>
    <t>ФГУП РСВО - Санкт-Петербург</t>
  </si>
  <si>
    <t>Аварийное обслуживание</t>
  </si>
  <si>
    <t>ООО "Содружество"</t>
  </si>
  <si>
    <t>ТО узла учета</t>
  </si>
  <si>
    <t>ЗАО "СИНТО"</t>
  </si>
  <si>
    <t>Резервный фонд</t>
  </si>
  <si>
    <t>Текущий ремонт (по договорам)</t>
  </si>
  <si>
    <t>Текущий ремонт (материалы)</t>
  </si>
  <si>
    <t>Капитальный ремонт</t>
  </si>
  <si>
    <t>Электроэнергия ОДН</t>
  </si>
  <si>
    <t>Отопление и горячее водоснабжение</t>
  </si>
  <si>
    <t>ГУП "Водоканал Санкт-Петербурга"</t>
  </si>
  <si>
    <t>ОАО "ТГК-1"</t>
  </si>
  <si>
    <t>ОАО "ПСК"</t>
  </si>
  <si>
    <t>м2</t>
  </si>
  <si>
    <t xml:space="preserve">Единица </t>
  </si>
  <si>
    <t>Единица</t>
  </si>
  <si>
    <t>ИТОГО</t>
  </si>
  <si>
    <t>Итого</t>
  </si>
  <si>
    <t>Отчисления в страховые фонды (АУП)</t>
  </si>
  <si>
    <t>Отчисления в страховые фонды (Обслуживающий персонал)</t>
  </si>
  <si>
    <t>м3</t>
  </si>
  <si>
    <t>Материалы (инвентарь и хозяйственные принадлежности)</t>
  </si>
  <si>
    <t>Холодное водоснабжение и водоотведение</t>
  </si>
  <si>
    <t>Водоотведение</t>
  </si>
  <si>
    <t>ХВС</t>
  </si>
  <si>
    <t>Тариф за место</t>
  </si>
  <si>
    <t>В месяц</t>
  </si>
  <si>
    <t>В год</t>
  </si>
  <si>
    <t>Заработная плата административно-управленческого персонала</t>
  </si>
  <si>
    <t>офис</t>
  </si>
  <si>
    <t>1. Административно-управленческие расходы</t>
  </si>
  <si>
    <t>Информационные и юридические услуги</t>
  </si>
  <si>
    <t xml:space="preserve">2. Содержание и обслуживание общего имущества </t>
  </si>
  <si>
    <t xml:space="preserve">ТО автоматической противопожарной защиты </t>
  </si>
  <si>
    <t>Итого ТО МКД:</t>
  </si>
  <si>
    <t>3. Дополнительные услуги</t>
  </si>
  <si>
    <t>3.1</t>
  </si>
  <si>
    <t>4. Капитальный ремонт</t>
  </si>
  <si>
    <t>5. Резервный фонд</t>
  </si>
  <si>
    <t>6. Электроэнергия</t>
  </si>
  <si>
    <t>7. Коммунальные платежи</t>
  </si>
  <si>
    <t>4.1</t>
  </si>
  <si>
    <t>6.1</t>
  </si>
  <si>
    <t>7.1</t>
  </si>
  <si>
    <t>7.2</t>
  </si>
  <si>
    <t>ТО автоматической противопожарной защиты</t>
  </si>
  <si>
    <t xml:space="preserve">Озеленение территории </t>
  </si>
  <si>
    <t>Озеленение территории</t>
  </si>
  <si>
    <t>ПФР(страховая часть) - 22%, ФФОМС - 5.1%, ФСС(несчастный случай) -0,2%, ФСС (соц. страх. нетрудоспособность) - 2,9%</t>
  </si>
  <si>
    <t>5.1</t>
  </si>
  <si>
    <t>Содержание МКД (многоквартирного дома)</t>
  </si>
  <si>
    <t>Теплоэнергия и ГВС</t>
  </si>
  <si>
    <t>Квартиры</t>
  </si>
  <si>
    <t>Офисы</t>
  </si>
  <si>
    <t>Паркинг</t>
  </si>
  <si>
    <t>Гкал</t>
  </si>
  <si>
    <t>Среднемесячное потребление</t>
  </si>
  <si>
    <t>Услуга</t>
  </si>
  <si>
    <t>кВт</t>
  </si>
  <si>
    <t>Единица измерения</t>
  </si>
  <si>
    <t>место</t>
  </si>
  <si>
    <t>ООО "ЭКО ТРЕСТ"</t>
  </si>
  <si>
    <t xml:space="preserve">ООО "ЛК Интегралл плюс", ИКЦ "Техэксперт-сервис", "Ресо-гарантия", </t>
  </si>
  <si>
    <t>Изменения в % по отношению к предыдущему периоду</t>
  </si>
  <si>
    <t>ООО "Нева климат сервис"</t>
  </si>
  <si>
    <t>квартира</t>
  </si>
  <si>
    <t>Очистка фасада</t>
  </si>
  <si>
    <t>2 уборщицы, уборщик паркинга, дворник, инженер.</t>
  </si>
  <si>
    <t>ПФР(страховая часть) - 22%, ФФОМС - 5.1%, ФСС(несчастный случай) - 0,2%, ФСС (соц. страх. нетрудоспособность) - 2,9%.</t>
  </si>
  <si>
    <t>Ежемесячное обслуживание по договору № 07-12-2012-СО.</t>
  </si>
  <si>
    <t>2.16</t>
  </si>
  <si>
    <t>2.17</t>
  </si>
  <si>
    <t>ООО "Биг-Сервис"</t>
  </si>
  <si>
    <t>ООО "ОО "СИРИУС СЕКЪЮРИТИ"</t>
  </si>
  <si>
    <t>Хостинг, консультации по ПО, электронные подписи и ключи, ежемесячное обслуживание ГИС ЖКХ.</t>
  </si>
  <si>
    <t>Подготовка к обязательной сдаче экзаменов на допуск к работам по обслуживанию лифтов, тепло - и электро- систем.</t>
  </si>
  <si>
    <t>Тариф сформирован в соответствии с расходами предыдущих лет.</t>
  </si>
  <si>
    <t>ТО ТВ</t>
  </si>
  <si>
    <t>2.18</t>
  </si>
  <si>
    <t>Ежемесячное обслуживание по договору № ЖН/ТО/Д/10-17 от 01.11.2017</t>
  </si>
  <si>
    <t>ЗАО "ЭлектронТелеком"</t>
  </si>
  <si>
    <t xml:space="preserve">Председатель Правления, управляющая, бухгалтер. </t>
  </si>
  <si>
    <t>Тариф сохранен без изменений.</t>
  </si>
  <si>
    <t>Резервный фонд (СоИ)</t>
  </si>
  <si>
    <t>Коммунальные ресурсы, потребляемые в целях содержания общего имущества в многоквартирном доме, в т.ч.:  холодная вода - 0,18 руб./м2, горячая вода -  0,40 руб./м2, водоотведение - 0,29 руб./м2. Итого: 0,87 руб./м2.</t>
  </si>
  <si>
    <t>Электроэнергия (дневная зона)</t>
  </si>
  <si>
    <t>Электроэнергия (ночная зона)</t>
  </si>
  <si>
    <r>
      <t xml:space="preserve">Тариф </t>
    </r>
    <r>
      <rPr>
        <b/>
        <sz val="11"/>
        <rFont val="Times New Roman"/>
        <family val="1"/>
        <charset val="204"/>
      </rPr>
      <t xml:space="preserve">2020 -2021 </t>
    </r>
    <r>
      <rPr>
        <sz val="11"/>
        <rFont val="Times New Roman"/>
        <family val="1"/>
        <charset val="204"/>
      </rPr>
      <t>г.</t>
    </r>
  </si>
  <si>
    <t>Ежемесячное техническое обслуживание видеодомофона по Договору 4-С от 01.03.2019 г.</t>
  </si>
  <si>
    <t>Ежемесячное техническое обслуживание лифтов - 17 898,30 руб. Ежемесячное ТО ОДС - 1 728,00 руб. Ежегодное техническое освидетельствование лифтов - 14 696,14 руб. Ежегодное страхование - 1 500 руб.</t>
  </si>
  <si>
    <t>Ежегодное обслуживание системы кондиционирования.</t>
  </si>
  <si>
    <t>Размер средств начисленных в качестве взносов на капитальный ремонт (руб.)</t>
  </si>
  <si>
    <t>Сведения о размере израсходованных средств на капитальный ремонт со специального счета (руб.)</t>
  </si>
  <si>
    <t>Остаток денежных средств на специальном счете (руб.)</t>
  </si>
  <si>
    <t>33,35 м. куб. - среднемесячный объем ТБО за трехлетний интервал. Тариф за вывоз мусора с 01.01.2019 г. составляет 750 руб. за м.куб.</t>
  </si>
  <si>
    <t>Ежемесячное обслуживание по Доп. соглашение №1 от 01.01.2017г. к Договору №Б-65-А от 29.07.2013 г. C 01.01.21 г. стоимость услуги увеличивается с 8058 руб. до 8160 руб.</t>
  </si>
  <si>
    <t>73,8871/74,9718</t>
  </si>
  <si>
    <t>Финансово-хозяйственный план  ТСЖ  "10-я линия 17-Г" на 2021-2022 год.</t>
  </si>
  <si>
    <t xml:space="preserve">Смета затрат с 01.06.2021 по 01.06.2022 в  ТСЖ  "10-я линия 17-Г" </t>
  </si>
  <si>
    <t xml:space="preserve">Расходы на потребление коммунальных услуг: </t>
  </si>
  <si>
    <t xml:space="preserve">                               Итого без учета коммунальных услуг:</t>
  </si>
  <si>
    <t xml:space="preserve">Прогнозируемые расходы на потребление коммунальных услуг на основании прошедшего года по дому в целом: </t>
  </si>
  <si>
    <t>Итого расходы на коммунальные услуги:</t>
  </si>
  <si>
    <t>Тариф на взносы на капитальный ремонт (минимальный размер тарифа устанавливается Правительством г. Санкт-Петербурга)</t>
  </si>
  <si>
    <t>ЗАПЛАНИРОВАННЫЕ НАЧИСЛЕНИЯ</t>
  </si>
  <si>
    <t>Итого по всем услугам:</t>
  </si>
  <si>
    <t>Итого планируемые расходы с учетом потребления коммунальных услуг</t>
  </si>
  <si>
    <t>Сведения о поступлении и расходовании взносов на капитальный ремонт</t>
  </si>
  <si>
    <t>по состоянию на 01 января 2021 года (с момента первых начислений)</t>
  </si>
  <si>
    <t>Размер собранных средств в качестве взносов на капитальный ремонт (руб.)</t>
  </si>
  <si>
    <r>
      <t xml:space="preserve">Тариф </t>
    </r>
    <r>
      <rPr>
        <b/>
        <sz val="11"/>
        <rFont val="Times New Roman"/>
        <family val="1"/>
        <charset val="204"/>
      </rPr>
      <t xml:space="preserve">2021 -2022 </t>
    </r>
    <r>
      <rPr>
        <sz val="11"/>
        <rFont val="Times New Roman"/>
        <family val="1"/>
        <charset val="204"/>
      </rPr>
      <t>г.</t>
    </r>
  </si>
  <si>
    <t>Ежемесячное обслуживание по договору № 66 от 03.12.2018 г.  C 01.01.22 г. стоимость услуги увеличивается с 1364,50 руб. до 1432,75 руб.</t>
  </si>
  <si>
    <t>Ежемесячное обслуживание по договору № 38320 от 01.04.2011 г. С 01.01.2021 г. стоимость услуги увеличена с 11 177,38 руб. до 11 847,89 руб.</t>
  </si>
  <si>
    <t>Ежемесячное обслуживание по договору №2210-18/ОУ от 22.10.2018 г.</t>
  </si>
  <si>
    <t>Минимальный размер взноса на капитальный ремонт общего имущества для типа "Панельные "новое строительство", постройки после 1980 г." и "дома, построенные после 1999 года, категории "новое строительство панельные" c лифтом с 01.01.2021 г. составляет 11,74 руб.\м2</t>
  </si>
  <si>
    <t>15 000,00 руб. - ежемесячная оплата за техническое обслуживание, 55 680,00 руб. - проверка работоспособности пожарных гидрантов. Стоимость ежегодной проверки увеличена с 42 020,00 до 55 680,00 руб.</t>
  </si>
  <si>
    <t>Материалы и средства для уборки. Тариф увеличен в связи с необходимостью приобретения антисептических и дизенфицирующих средств.</t>
  </si>
  <si>
    <t>С 01.10.2020 г. ежемесячная оплата по договору 30593 от 03.08.2009 г. Увеличена с  97,50 руб./шт до 102,50 руб./шт.</t>
  </si>
  <si>
    <t>С учетом планируемых расходов на коммунальные услуги.</t>
  </si>
  <si>
    <t>C 01.07.2021 тариф на холодное водоснабжение и водоотведение увеличен с 32,53 руб./м3 до 33,12 руб./м3.</t>
  </si>
  <si>
    <t>C 01.07.2021 тариф на отопление увеличен с 1818,29 руб./Гкал до 1880,11 руб./Гкал, и с 109,10 руб./м3 до 112,81 руб./м3 на горячую воду.</t>
  </si>
  <si>
    <t>C 01.07.2021 тариф на электрическую энергию увеличен с  4,06  руб./кВт∙ч до 4,28 руб./кВт∙ч. (дневная зона) и с 2,34  руб./кВт∙ч до 2,36 руб./кВт∙ч. (ночная зона)</t>
  </si>
  <si>
    <t>74,4102/75,4949</t>
  </si>
  <si>
    <t>Тариф 2020-2021 гг.</t>
  </si>
  <si>
    <r>
      <t xml:space="preserve">Тариф </t>
    </r>
    <r>
      <rPr>
        <b/>
        <sz val="11"/>
        <rFont val="Times New Roman"/>
        <family val="1"/>
        <charset val="204"/>
      </rPr>
      <t>2020 -2021 г</t>
    </r>
    <r>
      <rPr>
        <sz val="11"/>
        <rFont val="Times New Roman"/>
        <family val="1"/>
        <charset val="204"/>
      </rPr>
      <t>г.</t>
    </r>
  </si>
  <si>
    <r>
      <t xml:space="preserve">Тариф </t>
    </r>
    <r>
      <rPr>
        <b/>
        <sz val="11"/>
        <rFont val="Times New Roman"/>
        <family val="1"/>
        <charset val="204"/>
      </rPr>
      <t>2021 -2022 г</t>
    </r>
    <r>
      <rPr>
        <sz val="11"/>
        <rFont val="Times New Roman"/>
        <family val="1"/>
        <charset val="204"/>
      </rPr>
      <t>г.</t>
    </r>
  </si>
  <si>
    <t>Тариф 2021-2022 гг.</t>
  </si>
  <si>
    <t xml:space="preserve">Изменения в % </t>
  </si>
  <si>
    <t>0,70% / 0,70%</t>
  </si>
  <si>
    <t xml:space="preserve">Итого по всем позициям </t>
  </si>
  <si>
    <t>Справочно:</t>
  </si>
  <si>
    <r>
      <t xml:space="preserve">Тариф «Содержание МКД» в размере </t>
    </r>
    <r>
      <rPr>
        <b/>
        <sz val="11"/>
        <rFont val="Times New Roman"/>
        <family val="1"/>
        <charset val="204"/>
      </rPr>
      <t>74,4102</t>
    </r>
    <r>
      <rPr>
        <sz val="11"/>
        <rFont val="Times New Roman"/>
        <family val="1"/>
        <charset val="204"/>
      </rPr>
      <t xml:space="preserve"> руб. – установлен для квартир без кондиционеров
Тариф «Содержание МКД» в размере </t>
    </r>
    <r>
      <rPr>
        <b/>
        <sz val="11"/>
        <rFont val="Times New Roman"/>
        <family val="1"/>
        <charset val="204"/>
      </rPr>
      <t>75,4949</t>
    </r>
    <r>
      <rPr>
        <sz val="11"/>
        <rFont val="Times New Roman"/>
        <family val="1"/>
        <charset val="204"/>
      </rPr>
      <t xml:space="preserve"> руб. – установлен для квартир с кондиционерами</t>
    </r>
  </si>
  <si>
    <t>Метраж помещений</t>
  </si>
  <si>
    <t>Ремонт плит оснований балконов и террас - от 1 100 000 руб., Гидроизоляция (от 320 т.р.), Модернизация системы видеонаблюдения контроля допуска (382 т.р.)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</si>
</sst>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0" fontId="1" fillId="0" borderId="0" xfId="0" applyNumberFormat="1" applyFont="1" applyFill="1"/>
    <xf numFmtId="0" fontId="1" fillId="0" borderId="5" xfId="0" applyFont="1" applyFill="1" applyBorder="1" applyAlignment="1"/>
    <xf numFmtId="0" fontId="1" fillId="0" borderId="0" xfId="0" applyFont="1" applyFill="1" applyAlignment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3" fillId="0" borderId="0" xfId="0" applyFont="1" applyBorder="1" applyAlignment="1">
      <alignment vertical="center"/>
    </xf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opLeftCell="A28" zoomScaleNormal="100" workbookViewId="0">
      <selection activeCell="H35" sqref="H35"/>
    </sheetView>
  </sheetViews>
  <sheetFormatPr defaultRowHeight="15" x14ac:dyDescent="0.25"/>
  <cols>
    <col min="1" max="1" width="7.42578125" style="4" customWidth="1"/>
    <col min="2" max="2" width="43.5703125" style="4" customWidth="1"/>
    <col min="3" max="3" width="14.28515625" style="4" customWidth="1"/>
    <col min="4" max="4" width="15" style="4" customWidth="1"/>
    <col min="5" max="5" width="26.7109375" style="4" customWidth="1"/>
    <col min="6" max="6" width="41.5703125" style="4" customWidth="1"/>
    <col min="7" max="16384" width="9.140625" style="4"/>
  </cols>
  <sheetData>
    <row r="1" spans="1:13" ht="18.75" x14ac:dyDescent="0.3">
      <c r="A1" s="60" t="s">
        <v>149</v>
      </c>
      <c r="B1" s="60"/>
      <c r="C1" s="60"/>
      <c r="D1" s="60"/>
      <c r="E1" s="60"/>
      <c r="F1" s="60"/>
    </row>
    <row r="3" spans="1:13" ht="15.75" x14ac:dyDescent="0.25">
      <c r="A3" s="61" t="s">
        <v>102</v>
      </c>
      <c r="B3" s="61"/>
      <c r="C3" s="61"/>
      <c r="D3" s="61"/>
      <c r="E3" s="61"/>
      <c r="F3" s="61"/>
    </row>
    <row r="5" spans="1:13" x14ac:dyDescent="0.25">
      <c r="A5" s="62" t="s">
        <v>82</v>
      </c>
      <c r="B5" s="62"/>
      <c r="C5" s="62"/>
      <c r="D5" s="62"/>
      <c r="E5" s="62"/>
      <c r="F5" s="62"/>
    </row>
    <row r="7" spans="1:13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31</v>
      </c>
      <c r="F7" s="2" t="s">
        <v>30</v>
      </c>
    </row>
    <row r="8" spans="1:13" s="9" customFormat="1" ht="30" x14ac:dyDescent="0.25">
      <c r="A8" s="6" t="s">
        <v>4</v>
      </c>
      <c r="B8" s="7" t="s">
        <v>13</v>
      </c>
      <c r="C8" s="8">
        <f>SUM(D8)/12</f>
        <v>134668.08333333334</v>
      </c>
      <c r="D8" s="8">
        <v>1616017</v>
      </c>
      <c r="E8" s="7"/>
      <c r="F8" s="7" t="s">
        <v>133</v>
      </c>
    </row>
    <row r="9" spans="1:13" s="9" customFormat="1" x14ac:dyDescent="0.25">
      <c r="A9" s="6" t="s">
        <v>5</v>
      </c>
      <c r="B9" s="7" t="s">
        <v>83</v>
      </c>
      <c r="C9" s="8">
        <v>8291.67</v>
      </c>
      <c r="D9" s="8">
        <f>SUM(C9)*12</f>
        <v>99500.040000000008</v>
      </c>
      <c r="E9" s="7"/>
      <c r="F9" s="7" t="s">
        <v>134</v>
      </c>
    </row>
    <row r="10" spans="1:13" s="9" customFormat="1" ht="30" x14ac:dyDescent="0.25">
      <c r="A10" s="6" t="s">
        <v>6</v>
      </c>
      <c r="B10" s="7" t="s">
        <v>14</v>
      </c>
      <c r="C10" s="8">
        <v>750</v>
      </c>
      <c r="D10" s="8">
        <f>SUM(C10)*12</f>
        <v>9000</v>
      </c>
      <c r="E10" s="7"/>
      <c r="F10" s="7" t="s">
        <v>128</v>
      </c>
    </row>
    <row r="11" spans="1:13" s="9" customFormat="1" ht="45" x14ac:dyDescent="0.25">
      <c r="A11" s="6" t="s">
        <v>7</v>
      </c>
      <c r="B11" s="7" t="s">
        <v>70</v>
      </c>
      <c r="C11" s="8">
        <f>SUM(C8)*30.2%</f>
        <v>40669.761166666671</v>
      </c>
      <c r="D11" s="8">
        <f>SUM(D8)*30.2%</f>
        <v>488037.13399999996</v>
      </c>
      <c r="E11" s="7"/>
      <c r="F11" s="7" t="s">
        <v>100</v>
      </c>
      <c r="H11" s="10"/>
    </row>
    <row r="12" spans="1:13" s="9" customFormat="1" ht="60" x14ac:dyDescent="0.25">
      <c r="A12" s="6" t="s">
        <v>8</v>
      </c>
      <c r="B12" s="7" t="s">
        <v>18</v>
      </c>
      <c r="C12" s="8">
        <v>1791.67</v>
      </c>
      <c r="D12" s="8">
        <f>SUM(C12)*12</f>
        <v>21500.04</v>
      </c>
      <c r="E12" s="7"/>
      <c r="F12" s="7" t="s">
        <v>127</v>
      </c>
      <c r="G12" s="11"/>
      <c r="H12" s="12"/>
      <c r="I12" s="12"/>
      <c r="J12" s="66"/>
      <c r="K12" s="66"/>
      <c r="L12" s="66"/>
      <c r="M12" s="66"/>
    </row>
    <row r="13" spans="1:13" s="9" customFormat="1" ht="45" x14ac:dyDescent="0.25">
      <c r="A13" s="6" t="s">
        <v>9</v>
      </c>
      <c r="B13" s="7" t="s">
        <v>19</v>
      </c>
      <c r="C13" s="8">
        <v>4000</v>
      </c>
      <c r="D13" s="8">
        <f>SUM(C13)*12</f>
        <v>48000</v>
      </c>
      <c r="E13" s="7"/>
      <c r="F13" s="7" t="s">
        <v>126</v>
      </c>
    </row>
    <row r="14" spans="1:13" s="9" customFormat="1" ht="30" x14ac:dyDescent="0.25">
      <c r="A14" s="6" t="s">
        <v>10</v>
      </c>
      <c r="B14" s="7" t="s">
        <v>16</v>
      </c>
      <c r="C14" s="8">
        <v>3750</v>
      </c>
      <c r="D14" s="8">
        <f>SUM(C14)*12</f>
        <v>45000</v>
      </c>
      <c r="E14" s="7"/>
      <c r="F14" s="7" t="s">
        <v>128</v>
      </c>
    </row>
    <row r="15" spans="1:13" s="9" customFormat="1" x14ac:dyDescent="0.25">
      <c r="A15" s="6" t="s">
        <v>11</v>
      </c>
      <c r="B15" s="7" t="s">
        <v>15</v>
      </c>
      <c r="C15" s="8">
        <v>833.33</v>
      </c>
      <c r="D15" s="8">
        <f>SUM(C15)*12</f>
        <v>9999.9600000000009</v>
      </c>
      <c r="E15" s="7"/>
      <c r="F15" s="7" t="s">
        <v>134</v>
      </c>
    </row>
    <row r="16" spans="1:13" s="9" customFormat="1" ht="30" x14ac:dyDescent="0.25">
      <c r="A16" s="6" t="s">
        <v>12</v>
      </c>
      <c r="B16" s="7" t="s">
        <v>17</v>
      </c>
      <c r="C16" s="8">
        <v>1318.52</v>
      </c>
      <c r="D16" s="8">
        <f>SUM(C16)*12</f>
        <v>15822.24</v>
      </c>
      <c r="E16" s="7" t="s">
        <v>34</v>
      </c>
      <c r="F16" s="7" t="s">
        <v>128</v>
      </c>
    </row>
    <row r="17" spans="1:12" x14ac:dyDescent="0.25">
      <c r="A17" s="1"/>
      <c r="B17" s="3" t="s">
        <v>20</v>
      </c>
      <c r="C17" s="5">
        <f>SUM(C8:C16)</f>
        <v>196073.03450000001</v>
      </c>
      <c r="D17" s="5">
        <f>SUM(D8:D16)</f>
        <v>2352876.4140000003</v>
      </c>
      <c r="E17" s="2"/>
      <c r="F17" s="2"/>
    </row>
    <row r="19" spans="1:12" x14ac:dyDescent="0.25">
      <c r="A19" s="62" t="s">
        <v>84</v>
      </c>
      <c r="B19" s="62"/>
      <c r="C19" s="62"/>
      <c r="D19" s="62"/>
      <c r="E19" s="62"/>
      <c r="F19" s="62"/>
    </row>
    <row r="21" spans="1:12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31</v>
      </c>
      <c r="F21" s="2" t="s">
        <v>30</v>
      </c>
    </row>
    <row r="22" spans="1:12" s="9" customFormat="1" ht="75" x14ac:dyDescent="0.25">
      <c r="A22" s="6" t="s">
        <v>22</v>
      </c>
      <c r="B22" s="7" t="s">
        <v>52</v>
      </c>
      <c r="C22" s="8">
        <v>8160</v>
      </c>
      <c r="D22" s="8">
        <f>SUM(C22)*12</f>
        <v>97920</v>
      </c>
      <c r="E22" s="7" t="s">
        <v>53</v>
      </c>
      <c r="F22" s="7" t="s">
        <v>147</v>
      </c>
    </row>
    <row r="23" spans="1:12" s="9" customFormat="1" ht="60" x14ac:dyDescent="0.25">
      <c r="A23" s="6" t="s">
        <v>23</v>
      </c>
      <c r="B23" s="7" t="s">
        <v>46</v>
      </c>
      <c r="C23" s="8">
        <v>1466.88</v>
      </c>
      <c r="D23" s="8">
        <f>SUM(C23)*12</f>
        <v>17602.560000000001</v>
      </c>
      <c r="E23" s="7" t="s">
        <v>47</v>
      </c>
      <c r="F23" s="7" t="s">
        <v>163</v>
      </c>
    </row>
    <row r="24" spans="1:12" s="9" customFormat="1" ht="45" x14ac:dyDescent="0.25">
      <c r="A24" s="6" t="s">
        <v>24</v>
      </c>
      <c r="B24" s="7" t="s">
        <v>33</v>
      </c>
      <c r="C24" s="8">
        <v>15000</v>
      </c>
      <c r="D24" s="8">
        <f>SUM(C24)*12</f>
        <v>180000</v>
      </c>
      <c r="E24" s="7" t="s">
        <v>124</v>
      </c>
      <c r="F24" s="7" t="s">
        <v>140</v>
      </c>
    </row>
    <row r="25" spans="1:12" s="9" customFormat="1" ht="60" x14ac:dyDescent="0.25">
      <c r="A25" s="6" t="s">
        <v>25</v>
      </c>
      <c r="B25" s="7" t="s">
        <v>48</v>
      </c>
      <c r="C25" s="8">
        <v>25012.5</v>
      </c>
      <c r="D25" s="8">
        <f>SUM(C25)*12</f>
        <v>300150</v>
      </c>
      <c r="E25" s="7" t="s">
        <v>113</v>
      </c>
      <c r="F25" s="7" t="s">
        <v>146</v>
      </c>
    </row>
    <row r="26" spans="1:12" s="9" customFormat="1" ht="60" x14ac:dyDescent="0.25">
      <c r="A26" s="6" t="s">
        <v>26</v>
      </c>
      <c r="B26" s="19" t="s">
        <v>37</v>
      </c>
      <c r="C26" s="13">
        <v>12183.15</v>
      </c>
      <c r="D26" s="13">
        <f>SUM(C26)*12</f>
        <v>146197.79999999999</v>
      </c>
      <c r="E26" s="19" t="s">
        <v>38</v>
      </c>
      <c r="F26" s="19" t="s">
        <v>164</v>
      </c>
    </row>
    <row r="27" spans="1:12" s="9" customFormat="1" ht="30" x14ac:dyDescent="0.25">
      <c r="A27" s="6" t="s">
        <v>27</v>
      </c>
      <c r="B27" s="7" t="s">
        <v>21</v>
      </c>
      <c r="C27" s="8">
        <f>SUM(D27)/12</f>
        <v>107467.75</v>
      </c>
      <c r="D27" s="8">
        <v>1289613</v>
      </c>
      <c r="E27" s="7"/>
      <c r="F27" s="7" t="s">
        <v>119</v>
      </c>
    </row>
    <row r="28" spans="1:12" s="9" customFormat="1" ht="60" x14ac:dyDescent="0.25">
      <c r="A28" s="6" t="s">
        <v>28</v>
      </c>
      <c r="B28" s="7" t="s">
        <v>73</v>
      </c>
      <c r="C28" s="8">
        <v>7000</v>
      </c>
      <c r="D28" s="8">
        <f>SUM(C28)*12</f>
        <v>84000</v>
      </c>
      <c r="E28" s="7"/>
      <c r="F28" s="7" t="s">
        <v>168</v>
      </c>
      <c r="H28" s="66"/>
      <c r="I28" s="66"/>
      <c r="J28" s="66"/>
      <c r="K28" s="66"/>
      <c r="L28" s="66"/>
    </row>
    <row r="29" spans="1:12" s="9" customFormat="1" ht="30" x14ac:dyDescent="0.25">
      <c r="A29" s="6" t="s">
        <v>29</v>
      </c>
      <c r="B29" s="7" t="s">
        <v>118</v>
      </c>
      <c r="C29" s="8">
        <v>5000</v>
      </c>
      <c r="D29" s="8">
        <f>SUM(C29)*12</f>
        <v>60000</v>
      </c>
      <c r="E29" s="7"/>
      <c r="F29" s="7" t="s">
        <v>128</v>
      </c>
    </row>
    <row r="30" spans="1:12" s="9" customFormat="1" x14ac:dyDescent="0.25">
      <c r="A30" s="6" t="s">
        <v>39</v>
      </c>
      <c r="B30" s="7" t="s">
        <v>99</v>
      </c>
      <c r="C30" s="8">
        <v>18750</v>
      </c>
      <c r="D30" s="8">
        <f>SUM(C30)*12</f>
        <v>225000</v>
      </c>
      <c r="E30" s="7"/>
      <c r="F30" s="7" t="s">
        <v>134</v>
      </c>
      <c r="H30" s="14"/>
      <c r="I30" s="14"/>
      <c r="J30" s="14"/>
      <c r="K30" s="14"/>
    </row>
    <row r="31" spans="1:12" s="9" customFormat="1" ht="45" x14ac:dyDescent="0.25">
      <c r="A31" s="6" t="s">
        <v>40</v>
      </c>
      <c r="B31" s="7" t="s">
        <v>71</v>
      </c>
      <c r="C31" s="8">
        <f>SUM(C27)*30.2%</f>
        <v>32455.2605</v>
      </c>
      <c r="D31" s="8">
        <f>SUM(D27)*30.2%</f>
        <v>389463.12599999999</v>
      </c>
      <c r="E31" s="7"/>
      <c r="F31" s="7" t="s">
        <v>120</v>
      </c>
    </row>
    <row r="32" spans="1:12" s="9" customFormat="1" ht="30" x14ac:dyDescent="0.25">
      <c r="A32" s="6" t="s">
        <v>41</v>
      </c>
      <c r="B32" s="7" t="s">
        <v>35</v>
      </c>
      <c r="C32" s="8">
        <v>231000</v>
      </c>
      <c r="D32" s="8">
        <f t="shared" ref="D32:D37" si="0">SUM(C32)*12</f>
        <v>2772000</v>
      </c>
      <c r="E32" s="7" t="s">
        <v>125</v>
      </c>
      <c r="F32" s="7" t="s">
        <v>165</v>
      </c>
      <c r="G32" s="15"/>
    </row>
    <row r="33" spans="1:7" s="9" customFormat="1" ht="75" x14ac:dyDescent="0.25">
      <c r="A33" s="6" t="s">
        <v>42</v>
      </c>
      <c r="B33" s="7" t="s">
        <v>36</v>
      </c>
      <c r="C33" s="8">
        <v>20975.98</v>
      </c>
      <c r="D33" s="8">
        <f t="shared" si="0"/>
        <v>251711.76</v>
      </c>
      <c r="E33" s="7" t="s">
        <v>114</v>
      </c>
      <c r="F33" s="7" t="s">
        <v>141</v>
      </c>
      <c r="G33" s="16"/>
    </row>
    <row r="34" spans="1:7" s="9" customFormat="1" ht="57.6" customHeight="1" x14ac:dyDescent="0.25">
      <c r="A34" s="6" t="s">
        <v>43</v>
      </c>
      <c r="B34" s="7" t="s">
        <v>57</v>
      </c>
      <c r="C34" s="8">
        <v>130000</v>
      </c>
      <c r="D34" s="8">
        <f t="shared" si="0"/>
        <v>1560000</v>
      </c>
      <c r="E34" s="7"/>
      <c r="F34" s="64" t="s">
        <v>185</v>
      </c>
    </row>
    <row r="35" spans="1:7" s="9" customFormat="1" ht="60" customHeight="1" x14ac:dyDescent="0.25">
      <c r="A35" s="6" t="s">
        <v>44</v>
      </c>
      <c r="B35" s="7" t="s">
        <v>58</v>
      </c>
      <c r="C35" s="8">
        <v>18750</v>
      </c>
      <c r="D35" s="8">
        <f>SUM(C35)*12</f>
        <v>225000</v>
      </c>
      <c r="E35" s="7"/>
      <c r="F35" s="65"/>
      <c r="G35" s="16"/>
    </row>
    <row r="36" spans="1:7" s="9" customFormat="1" ht="90" x14ac:dyDescent="0.25">
      <c r="A36" s="6" t="s">
        <v>45</v>
      </c>
      <c r="B36" s="7" t="s">
        <v>85</v>
      </c>
      <c r="C36" s="8">
        <v>19640</v>
      </c>
      <c r="D36" s="8">
        <f t="shared" si="0"/>
        <v>235680</v>
      </c>
      <c r="E36" s="7" t="s">
        <v>32</v>
      </c>
      <c r="F36" s="7" t="s">
        <v>167</v>
      </c>
      <c r="G36" s="15"/>
    </row>
    <row r="37" spans="1:7" s="9" customFormat="1" ht="30" x14ac:dyDescent="0.25">
      <c r="A37" s="6" t="s">
        <v>122</v>
      </c>
      <c r="B37" s="7" t="s">
        <v>49</v>
      </c>
      <c r="C37" s="8">
        <v>7750</v>
      </c>
      <c r="D37" s="8">
        <f t="shared" si="0"/>
        <v>93000</v>
      </c>
      <c r="E37" s="7" t="s">
        <v>116</v>
      </c>
      <c r="F37" s="7" t="s">
        <v>142</v>
      </c>
      <c r="G37" s="16"/>
    </row>
    <row r="38" spans="1:7" s="9" customFormat="1" ht="30" x14ac:dyDescent="0.25">
      <c r="A38" s="6" t="s">
        <v>123</v>
      </c>
      <c r="B38" s="7" t="s">
        <v>129</v>
      </c>
      <c r="C38" s="8">
        <v>4100</v>
      </c>
      <c r="D38" s="8">
        <f>SUM(C38)*12</f>
        <v>49200</v>
      </c>
      <c r="E38" s="7" t="s">
        <v>132</v>
      </c>
      <c r="F38" s="7" t="s">
        <v>131</v>
      </c>
    </row>
    <row r="39" spans="1:7" ht="30" x14ac:dyDescent="0.25">
      <c r="A39" s="6" t="s">
        <v>130</v>
      </c>
      <c r="B39" s="7" t="s">
        <v>54</v>
      </c>
      <c r="C39" s="8">
        <v>8800</v>
      </c>
      <c r="D39" s="8">
        <f>SUM(C39)*12</f>
        <v>105600</v>
      </c>
      <c r="E39" s="7" t="s">
        <v>55</v>
      </c>
      <c r="F39" s="7" t="s">
        <v>121</v>
      </c>
    </row>
    <row r="40" spans="1:7" x14ac:dyDescent="0.25">
      <c r="A40" s="3"/>
      <c r="B40" s="3" t="s">
        <v>20</v>
      </c>
      <c r="C40" s="5">
        <f>SUM(C22:C39)</f>
        <v>673511.52049999998</v>
      </c>
      <c r="D40" s="5">
        <f>SUM(D22:D39)</f>
        <v>8082138.2460000003</v>
      </c>
      <c r="E40" s="3"/>
      <c r="F40" s="3"/>
    </row>
    <row r="41" spans="1:7" x14ac:dyDescent="0.25">
      <c r="A41" s="3"/>
      <c r="B41" s="3" t="s">
        <v>86</v>
      </c>
      <c r="C41" s="5">
        <f>SUM(C17,C40)</f>
        <v>869584.55499999993</v>
      </c>
      <c r="D41" s="5">
        <f>SUM(D17,D40)</f>
        <v>10435014.66</v>
      </c>
      <c r="E41" s="3"/>
      <c r="F41" s="3"/>
    </row>
    <row r="43" spans="1:7" x14ac:dyDescent="0.25">
      <c r="A43" s="63" t="s">
        <v>87</v>
      </c>
      <c r="B43" s="63"/>
      <c r="C43" s="63"/>
      <c r="D43" s="63"/>
      <c r="E43" s="63"/>
      <c r="F43" s="63"/>
    </row>
    <row r="45" spans="1:7" s="9" customFormat="1" x14ac:dyDescent="0.25">
      <c r="A45" s="2" t="s">
        <v>0</v>
      </c>
      <c r="B45" s="2" t="s">
        <v>1</v>
      </c>
      <c r="C45" s="2" t="s">
        <v>2</v>
      </c>
      <c r="D45" s="2" t="s">
        <v>3</v>
      </c>
      <c r="E45" s="2" t="s">
        <v>31</v>
      </c>
      <c r="F45" s="2" t="s">
        <v>30</v>
      </c>
      <c r="G45" s="15"/>
    </row>
    <row r="46" spans="1:7" ht="45" x14ac:dyDescent="0.25">
      <c r="A46" s="6" t="s">
        <v>88</v>
      </c>
      <c r="B46" s="7" t="s">
        <v>50</v>
      </c>
      <c r="C46" s="8">
        <v>7118.75</v>
      </c>
      <c r="D46" s="8">
        <f>SUM(C46)*12</f>
        <v>85425</v>
      </c>
      <c r="E46" s="7" t="s">
        <v>51</v>
      </c>
      <c r="F46" s="7" t="s">
        <v>169</v>
      </c>
    </row>
    <row r="48" spans="1:7" x14ac:dyDescent="0.25">
      <c r="A48" s="63" t="s">
        <v>89</v>
      </c>
      <c r="B48" s="63"/>
      <c r="C48" s="63"/>
      <c r="D48" s="63"/>
      <c r="E48" s="63"/>
      <c r="F48" s="63"/>
    </row>
    <row r="50" spans="1:6" s="9" customFormat="1" x14ac:dyDescent="0.25">
      <c r="A50" s="2" t="s">
        <v>0</v>
      </c>
      <c r="B50" s="2" t="s">
        <v>1</v>
      </c>
      <c r="C50" s="2" t="s">
        <v>2</v>
      </c>
      <c r="D50" s="2" t="s">
        <v>3</v>
      </c>
      <c r="E50" s="2" t="s">
        <v>31</v>
      </c>
      <c r="F50" s="2" t="s">
        <v>30</v>
      </c>
    </row>
    <row r="51" spans="1:6" ht="120" x14ac:dyDescent="0.25">
      <c r="A51" s="6" t="s">
        <v>93</v>
      </c>
      <c r="B51" s="7" t="s">
        <v>59</v>
      </c>
      <c r="C51" s="49">
        <f>SUM(Смета!U52)</f>
        <v>119774.41500000001</v>
      </c>
      <c r="D51" s="8">
        <f>SUM(C51)*12</f>
        <v>1437292.98</v>
      </c>
      <c r="E51" s="7"/>
      <c r="F51" s="7" t="s">
        <v>166</v>
      </c>
    </row>
    <row r="53" spans="1:6" x14ac:dyDescent="0.25">
      <c r="A53" s="63" t="s">
        <v>90</v>
      </c>
      <c r="B53" s="63"/>
      <c r="C53" s="63"/>
      <c r="D53" s="63"/>
      <c r="E53" s="63"/>
      <c r="F53" s="63"/>
    </row>
    <row r="55" spans="1:6" x14ac:dyDescent="0.25">
      <c r="A55" s="2" t="s">
        <v>0</v>
      </c>
      <c r="B55" s="2" t="s">
        <v>1</v>
      </c>
      <c r="C55" s="2" t="s">
        <v>2</v>
      </c>
      <c r="D55" s="2" t="s">
        <v>3</v>
      </c>
      <c r="E55" s="2" t="s">
        <v>31</v>
      </c>
      <c r="F55" s="2" t="s">
        <v>30</v>
      </c>
    </row>
    <row r="56" spans="1:6" ht="90" x14ac:dyDescent="0.25">
      <c r="A56" s="17" t="s">
        <v>101</v>
      </c>
      <c r="B56" s="7" t="s">
        <v>135</v>
      </c>
      <c r="C56" s="8">
        <v>8875.9599999999991</v>
      </c>
      <c r="D56" s="8">
        <f>SUM(C56)*12</f>
        <v>106511.51999999999</v>
      </c>
      <c r="E56" s="7"/>
      <c r="F56" s="7" t="s">
        <v>136</v>
      </c>
    </row>
    <row r="58" spans="1:6" x14ac:dyDescent="0.25">
      <c r="A58" s="63" t="s">
        <v>91</v>
      </c>
      <c r="B58" s="63"/>
      <c r="C58" s="63"/>
      <c r="D58" s="63"/>
      <c r="E58" s="63"/>
      <c r="F58" s="63"/>
    </row>
    <row r="60" spans="1:6" x14ac:dyDescent="0.25">
      <c r="A60" s="2" t="s">
        <v>0</v>
      </c>
      <c r="B60" s="2" t="s">
        <v>1</v>
      </c>
      <c r="C60" s="2" t="s">
        <v>2</v>
      </c>
      <c r="D60" s="2" t="s">
        <v>3</v>
      </c>
      <c r="E60" s="2" t="s">
        <v>31</v>
      </c>
      <c r="F60" s="2" t="s">
        <v>30</v>
      </c>
    </row>
    <row r="61" spans="1:6" ht="60" x14ac:dyDescent="0.25">
      <c r="A61" s="1" t="s">
        <v>94</v>
      </c>
      <c r="B61" s="2" t="s">
        <v>60</v>
      </c>
      <c r="C61" s="49">
        <f>SUM(Смета!U41+Смета!U42)</f>
        <v>27092.0648</v>
      </c>
      <c r="D61" s="8">
        <f>SUM(C61)*12</f>
        <v>325104.77760000003</v>
      </c>
      <c r="E61" s="2" t="s">
        <v>64</v>
      </c>
      <c r="F61" s="2" t="s">
        <v>173</v>
      </c>
    </row>
    <row r="63" spans="1:6" x14ac:dyDescent="0.25">
      <c r="A63" s="63" t="s">
        <v>92</v>
      </c>
      <c r="B63" s="63"/>
      <c r="C63" s="63"/>
      <c r="D63" s="63"/>
      <c r="E63" s="63"/>
      <c r="F63" s="63"/>
    </row>
    <row r="65" spans="1:6" x14ac:dyDescent="0.25">
      <c r="A65" s="18" t="s">
        <v>0</v>
      </c>
      <c r="B65" s="18" t="s">
        <v>1</v>
      </c>
      <c r="C65" s="18" t="s">
        <v>2</v>
      </c>
      <c r="D65" s="18" t="s">
        <v>3</v>
      </c>
      <c r="E65" s="18" t="s">
        <v>31</v>
      </c>
      <c r="F65" s="18" t="s">
        <v>30</v>
      </c>
    </row>
    <row r="66" spans="1:6" ht="45" x14ac:dyDescent="0.25">
      <c r="A66" s="1" t="s">
        <v>95</v>
      </c>
      <c r="B66" s="2" t="s">
        <v>74</v>
      </c>
      <c r="C66" s="49">
        <f>SUM(Смета!U44+Смета!U45)</f>
        <v>39552.003359999995</v>
      </c>
      <c r="D66" s="8">
        <f>SUM(C66)*12</f>
        <v>474624.04031999991</v>
      </c>
      <c r="E66" s="2" t="s">
        <v>62</v>
      </c>
      <c r="F66" s="2" t="s">
        <v>171</v>
      </c>
    </row>
    <row r="67" spans="1:6" ht="60" x14ac:dyDescent="0.25">
      <c r="A67" s="1" t="s">
        <v>96</v>
      </c>
      <c r="B67" s="2" t="s">
        <v>61</v>
      </c>
      <c r="C67" s="49">
        <f>SUM(Смета!U43)</f>
        <v>145896.53599999999</v>
      </c>
      <c r="D67" s="8">
        <f>SUM(C67)*12</f>
        <v>1750758.432</v>
      </c>
      <c r="E67" s="2" t="s">
        <v>63</v>
      </c>
      <c r="F67" s="2" t="s">
        <v>172</v>
      </c>
    </row>
    <row r="69" spans="1:6" ht="15" customHeight="1" x14ac:dyDescent="0.25">
      <c r="A69" s="67" t="s">
        <v>20</v>
      </c>
      <c r="B69" s="67"/>
      <c r="C69" s="67"/>
      <c r="D69" s="67"/>
      <c r="E69" s="67"/>
      <c r="F69" s="67"/>
    </row>
    <row r="70" spans="1:6" x14ac:dyDescent="0.25">
      <c r="A70" s="56" t="s">
        <v>181</v>
      </c>
      <c r="B70" s="57"/>
      <c r="C70" s="18" t="s">
        <v>2</v>
      </c>
      <c r="D70" s="18" t="s">
        <v>3</v>
      </c>
      <c r="E70" s="56" t="s">
        <v>170</v>
      </c>
      <c r="F70" s="57"/>
    </row>
    <row r="71" spans="1:6" ht="15" customHeight="1" x14ac:dyDescent="0.25">
      <c r="A71" s="58"/>
      <c r="B71" s="59"/>
      <c r="C71" s="5">
        <f>SUM(C41,C46,C51,C56,C61,C66,C67)</f>
        <v>1217894.28416</v>
      </c>
      <c r="D71" s="5">
        <f>SUM(D41,D46,D51,D56,D61,D66,D67)</f>
        <v>14614731.40992</v>
      </c>
      <c r="E71" s="58"/>
      <c r="F71" s="59"/>
    </row>
  </sheetData>
  <mergeCells count="15">
    <mergeCell ref="J12:M12"/>
    <mergeCell ref="A53:F53"/>
    <mergeCell ref="A58:F58"/>
    <mergeCell ref="A63:F63"/>
    <mergeCell ref="A69:F69"/>
    <mergeCell ref="H28:L28"/>
    <mergeCell ref="A48:F48"/>
    <mergeCell ref="A70:B71"/>
    <mergeCell ref="E70:F71"/>
    <mergeCell ref="A1:F1"/>
    <mergeCell ref="A3:F3"/>
    <mergeCell ref="A5:F5"/>
    <mergeCell ref="A19:F19"/>
    <mergeCell ref="A43:F43"/>
    <mergeCell ref="F34:F35"/>
  </mergeCells>
  <phoneticPr fontId="6" type="noConversion"/>
  <pageMargins left="0.7" right="0.7" top="0.75" bottom="0.75" header="0.3" footer="0.3"/>
  <pageSetup paperSize="9" scale="5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BFED-26C1-42C1-9B42-71A78302AB71}">
  <dimension ref="A1:BF69"/>
  <sheetViews>
    <sheetView tabSelected="1" zoomScale="70" zoomScaleNormal="70" workbookViewId="0">
      <selection activeCell="U9" sqref="U9"/>
    </sheetView>
  </sheetViews>
  <sheetFormatPr defaultRowHeight="15" x14ac:dyDescent="0.25"/>
  <cols>
    <col min="1" max="1" width="40.28515625" style="4" bestFit="1" customWidth="1"/>
    <col min="2" max="2" width="10.28515625" style="4" bestFit="1" customWidth="1"/>
    <col min="3" max="3" width="11" style="4" customWidth="1"/>
    <col min="4" max="4" width="20.85546875" style="4" bestFit="1" customWidth="1"/>
    <col min="5" max="5" width="20.140625" style="4" customWidth="1"/>
    <col min="6" max="6" width="21.85546875" style="4" customWidth="1"/>
    <col min="7" max="7" width="11.28515625" style="4" customWidth="1"/>
    <col min="8" max="8" width="9.140625" style="4" bestFit="1" customWidth="1"/>
    <col min="9" max="9" width="11" style="4" customWidth="1"/>
    <col min="10" max="10" width="20.5703125" style="4" customWidth="1"/>
    <col min="11" max="11" width="20.28515625" style="4" customWidth="1"/>
    <col min="12" max="12" width="21.85546875" style="4" customWidth="1"/>
    <col min="13" max="13" width="10.140625" style="4" customWidth="1"/>
    <col min="14" max="14" width="9.140625" style="4" bestFit="1" customWidth="1"/>
    <col min="15" max="15" width="11" style="4" customWidth="1"/>
    <col min="16" max="16" width="20.85546875" style="4" customWidth="1"/>
    <col min="17" max="17" width="21.140625" style="4" customWidth="1"/>
    <col min="18" max="18" width="21.85546875" style="4" customWidth="1"/>
    <col min="19" max="19" width="11.28515625" style="4" customWidth="1"/>
    <col min="20" max="20" width="9" style="4" customWidth="1"/>
    <col min="21" max="21" width="13.140625" style="4" customWidth="1"/>
    <col min="22" max="22" width="14.28515625" style="4" bestFit="1" customWidth="1"/>
    <col min="23" max="23" width="14.140625" style="4" bestFit="1" customWidth="1"/>
    <col min="24" max="25" width="14.28515625" style="4" bestFit="1" customWidth="1"/>
    <col min="26" max="16384" width="9.140625" style="4"/>
  </cols>
  <sheetData>
    <row r="1" spans="1:26" ht="18.75" x14ac:dyDescent="0.3">
      <c r="A1" s="68" t="s">
        <v>150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44"/>
      <c r="X1" s="44"/>
      <c r="Y1" s="44"/>
      <c r="Z1" s="44"/>
    </row>
    <row r="2" spans="1:26" x14ac:dyDescent="0.25">
      <c r="A2" s="70" t="s">
        <v>109</v>
      </c>
      <c r="B2" s="70" t="s">
        <v>104</v>
      </c>
      <c r="C2" s="70"/>
      <c r="D2" s="70"/>
      <c r="E2" s="70"/>
      <c r="F2" s="70"/>
      <c r="G2" s="70"/>
      <c r="H2" s="70" t="s">
        <v>105</v>
      </c>
      <c r="I2" s="70"/>
      <c r="J2" s="70"/>
      <c r="K2" s="70"/>
      <c r="L2" s="70"/>
      <c r="M2" s="70"/>
      <c r="N2" s="70" t="s">
        <v>106</v>
      </c>
      <c r="O2" s="70"/>
      <c r="P2" s="70"/>
      <c r="Q2" s="70"/>
      <c r="R2" s="70"/>
      <c r="S2" s="70"/>
      <c r="T2" s="70"/>
      <c r="U2" s="70" t="s">
        <v>68</v>
      </c>
      <c r="V2" s="70"/>
      <c r="W2" s="45"/>
      <c r="X2" s="45"/>
      <c r="Y2" s="45"/>
      <c r="Z2" s="44"/>
    </row>
    <row r="3" spans="1:26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45"/>
      <c r="X3" s="45"/>
      <c r="Y3" s="45"/>
      <c r="Z3" s="44"/>
    </row>
    <row r="4" spans="1:26" ht="45" x14ac:dyDescent="0.25">
      <c r="A4" s="70"/>
      <c r="B4" s="21" t="s">
        <v>67</v>
      </c>
      <c r="C4" s="22" t="s">
        <v>184</v>
      </c>
      <c r="D4" s="22" t="s">
        <v>176</v>
      </c>
      <c r="E4" s="22" t="s">
        <v>177</v>
      </c>
      <c r="F4" s="23" t="s">
        <v>115</v>
      </c>
      <c r="G4" s="22" t="s">
        <v>69</v>
      </c>
      <c r="H4" s="21" t="s">
        <v>66</v>
      </c>
      <c r="I4" s="22" t="s">
        <v>184</v>
      </c>
      <c r="J4" s="22" t="s">
        <v>176</v>
      </c>
      <c r="K4" s="22" t="s">
        <v>177</v>
      </c>
      <c r="L4" s="23" t="s">
        <v>115</v>
      </c>
      <c r="M4" s="21" t="s">
        <v>69</v>
      </c>
      <c r="N4" s="21" t="s">
        <v>66</v>
      </c>
      <c r="O4" s="22" t="s">
        <v>184</v>
      </c>
      <c r="P4" s="22" t="s">
        <v>176</v>
      </c>
      <c r="Q4" s="22" t="s">
        <v>177</v>
      </c>
      <c r="R4" s="23" t="s">
        <v>115</v>
      </c>
      <c r="S4" s="21" t="s">
        <v>69</v>
      </c>
      <c r="T4" s="22" t="s">
        <v>77</v>
      </c>
      <c r="U4" s="21" t="s">
        <v>78</v>
      </c>
      <c r="V4" s="21" t="s">
        <v>79</v>
      </c>
      <c r="W4" s="46"/>
      <c r="Z4" s="44"/>
    </row>
    <row r="5" spans="1:26" ht="28.5" x14ac:dyDescent="0.25">
      <c r="A5" s="24" t="s">
        <v>102</v>
      </c>
      <c r="B5" s="25" t="s">
        <v>65</v>
      </c>
      <c r="C5" s="26">
        <v>7172.8</v>
      </c>
      <c r="D5" s="27" t="s">
        <v>148</v>
      </c>
      <c r="E5" s="27" t="s">
        <v>174</v>
      </c>
      <c r="F5" s="28" t="s">
        <v>180</v>
      </c>
      <c r="G5" s="26">
        <f>SUM(G6:G32)</f>
        <v>538193.11850364751</v>
      </c>
      <c r="H5" s="25" t="s">
        <v>65</v>
      </c>
      <c r="I5" s="26">
        <v>879.2</v>
      </c>
      <c r="J5" s="27">
        <f>SUM(J6:J32)</f>
        <v>90.285183544795544</v>
      </c>
      <c r="K5" s="27">
        <f>SUM(K6:K32)</f>
        <v>90.942844112135859</v>
      </c>
      <c r="L5" s="28">
        <f>(K5-J5)/J5</f>
        <v>7.2842579648078444E-3</v>
      </c>
      <c r="M5" s="26">
        <f>SUM(M6:M32)</f>
        <v>79956.948543389837</v>
      </c>
      <c r="N5" s="25" t="s">
        <v>65</v>
      </c>
      <c r="O5" s="26">
        <v>2150.25</v>
      </c>
      <c r="P5" s="27">
        <f>SUM(P6:P32)</f>
        <v>116.27501375097607</v>
      </c>
      <c r="Q5" s="27">
        <f>SUM(Q6:Q32)</f>
        <v>116.9326743183164</v>
      </c>
      <c r="R5" s="28">
        <f>(Q5-P5)/P5</f>
        <v>5.6560781729841645E-3</v>
      </c>
      <c r="S5" s="26">
        <f>SUM(S6:S32)</f>
        <v>251434.48295295978</v>
      </c>
      <c r="T5" s="26">
        <f>SUM(T6:T32)</f>
        <v>3352.4597727061314</v>
      </c>
      <c r="U5" s="26">
        <f>SUM(G5+M5+S5)</f>
        <v>869584.54999999702</v>
      </c>
      <c r="V5" s="26">
        <f>SUM(U5)*12</f>
        <v>10435014.599999964</v>
      </c>
      <c r="W5" s="47"/>
    </row>
    <row r="6" spans="1:26" x14ac:dyDescent="0.25">
      <c r="A6" s="22" t="s">
        <v>52</v>
      </c>
      <c r="B6" s="21" t="s">
        <v>65</v>
      </c>
      <c r="C6" s="29">
        <v>7172.8</v>
      </c>
      <c r="D6" s="51">
        <v>0.794824671028449</v>
      </c>
      <c r="E6" s="51">
        <v>0.79982356833051504</v>
      </c>
      <c r="F6" s="50">
        <f t="shared" ref="F6:F31" si="0">(E6-D6)/D6</f>
        <v>6.2893081761010369E-3</v>
      </c>
      <c r="G6" s="30">
        <f t="shared" ref="G6:G32" si="1">SUM(C6*E6)</f>
        <v>5736.9744909211186</v>
      </c>
      <c r="H6" s="21" t="s">
        <v>65</v>
      </c>
      <c r="I6" s="29">
        <v>879.2</v>
      </c>
      <c r="J6" s="51">
        <v>0.794824671028449</v>
      </c>
      <c r="K6" s="51">
        <v>0.79982356833051504</v>
      </c>
      <c r="L6" s="50">
        <f>(K6-J6)/J6</f>
        <v>6.2893081761010369E-3</v>
      </c>
      <c r="M6" s="30">
        <f>SUM(I6*K6)</f>
        <v>703.20488127618887</v>
      </c>
      <c r="N6" s="21" t="s">
        <v>65</v>
      </c>
      <c r="O6" s="29">
        <v>2150.25</v>
      </c>
      <c r="P6" s="51">
        <v>0.794824671028449</v>
      </c>
      <c r="Q6" s="51">
        <v>0.79982356833051504</v>
      </c>
      <c r="R6" s="50">
        <f t="shared" ref="R6:R29" si="2">(Q6-P6)/P6</f>
        <v>6.2893081761010369E-3</v>
      </c>
      <c r="S6" s="30">
        <f>SUM(O6*Q6)</f>
        <v>1719.8206278026901</v>
      </c>
      <c r="T6" s="32">
        <f>SUM(Q6)*28.67</f>
        <v>22.930941704035867</v>
      </c>
      <c r="U6" s="30">
        <f>SUM(План!C22)</f>
        <v>8160</v>
      </c>
      <c r="V6" s="26">
        <f>SUM(U6)*12</f>
        <v>97920</v>
      </c>
      <c r="W6" s="48"/>
    </row>
    <row r="7" spans="1:26" x14ac:dyDescent="0.25">
      <c r="A7" s="22" t="s">
        <v>46</v>
      </c>
      <c r="B7" s="21" t="s">
        <v>65</v>
      </c>
      <c r="C7" s="29">
        <v>7172.8</v>
      </c>
      <c r="D7" s="51">
        <v>0.13374500722879701</v>
      </c>
      <c r="E7" s="51">
        <v>0.14378004851870901</v>
      </c>
      <c r="F7" s="50">
        <f t="shared" si="0"/>
        <v>7.5031146940274962E-2</v>
      </c>
      <c r="G7" s="30">
        <f t="shared" si="1"/>
        <v>1031.3055320149961</v>
      </c>
      <c r="H7" s="21" t="s">
        <v>65</v>
      </c>
      <c r="I7" s="29">
        <v>879.2</v>
      </c>
      <c r="J7" s="51">
        <v>0.13374500722879701</v>
      </c>
      <c r="K7" s="51">
        <v>0.14378004851870901</v>
      </c>
      <c r="L7" s="50">
        <f>(K7-J7)/J7</f>
        <v>7.5031146940274962E-2</v>
      </c>
      <c r="M7" s="30">
        <f>SUM(I7*K7)</f>
        <v>126.41141865764897</v>
      </c>
      <c r="N7" s="21" t="s">
        <v>65</v>
      </c>
      <c r="O7" s="29">
        <v>2150.25</v>
      </c>
      <c r="P7" s="51">
        <v>0.13374500722879701</v>
      </c>
      <c r="Q7" s="51">
        <v>0.14378004851870901</v>
      </c>
      <c r="R7" s="50">
        <f t="shared" si="2"/>
        <v>7.5031146940274962E-2</v>
      </c>
      <c r="S7" s="30">
        <f>SUM(O7*Q7)</f>
        <v>309.16304932735403</v>
      </c>
      <c r="T7" s="32">
        <f t="shared" ref="T7:T16" si="3">SUM(Q7)*28.67</f>
        <v>4.1221739910313877</v>
      </c>
      <c r="U7" s="30">
        <f>SUM(План!C23)</f>
        <v>1466.88</v>
      </c>
      <c r="V7" s="26">
        <f t="shared" ref="V7:V36" si="4">SUM(U7)*12</f>
        <v>17602.560000000001</v>
      </c>
      <c r="W7" s="48"/>
    </row>
    <row r="8" spans="1:26" x14ac:dyDescent="0.25">
      <c r="A8" s="33" t="s">
        <v>33</v>
      </c>
      <c r="B8" s="21" t="s">
        <v>65</v>
      </c>
      <c r="C8" s="29">
        <v>7172.8</v>
      </c>
      <c r="D8" s="51">
        <v>1.4702639123722701</v>
      </c>
      <c r="E8" s="51">
        <v>1.4702639123722701</v>
      </c>
      <c r="F8" s="50">
        <f t="shared" si="0"/>
        <v>0</v>
      </c>
      <c r="G8" s="30">
        <f t="shared" si="1"/>
        <v>10545.908990663818</v>
      </c>
      <c r="H8" s="21" t="s">
        <v>65</v>
      </c>
      <c r="I8" s="29">
        <v>879.2</v>
      </c>
      <c r="J8" s="51">
        <v>1.4702639123722701</v>
      </c>
      <c r="K8" s="51">
        <v>1.4702639123722701</v>
      </c>
      <c r="L8" s="50">
        <f>(K8-J8)/J8</f>
        <v>0</v>
      </c>
      <c r="M8" s="30">
        <f>SUM(I8*K8)</f>
        <v>1292.6560317576998</v>
      </c>
      <c r="N8" s="21" t="s">
        <v>65</v>
      </c>
      <c r="O8" s="29">
        <v>2150.25</v>
      </c>
      <c r="P8" s="51">
        <v>1.4702639123722701</v>
      </c>
      <c r="Q8" s="51">
        <v>1.4702639123722701</v>
      </c>
      <c r="R8" s="50">
        <f t="shared" si="2"/>
        <v>0</v>
      </c>
      <c r="S8" s="30">
        <f>SUM(O8*Q8)</f>
        <v>3161.4349775784735</v>
      </c>
      <c r="T8" s="32">
        <f t="shared" si="3"/>
        <v>42.152466367712982</v>
      </c>
      <c r="U8" s="30">
        <f>SUM(План!C24)</f>
        <v>15000</v>
      </c>
      <c r="V8" s="26">
        <f t="shared" si="4"/>
        <v>180000</v>
      </c>
      <c r="W8" s="48"/>
    </row>
    <row r="9" spans="1:26" x14ac:dyDescent="0.25">
      <c r="A9" s="33" t="s">
        <v>48</v>
      </c>
      <c r="B9" s="21" t="s">
        <v>65</v>
      </c>
      <c r="C9" s="29">
        <v>7172.8</v>
      </c>
      <c r="D9" s="51">
        <v>2.4516650738807599</v>
      </c>
      <c r="E9" s="51">
        <v>2.4516650738807599</v>
      </c>
      <c r="F9" s="50">
        <f>(E9-D9)/D9</f>
        <v>0</v>
      </c>
      <c r="G9" s="30">
        <f t="shared" si="1"/>
        <v>17585.303241931917</v>
      </c>
      <c r="H9" s="21" t="s">
        <v>65</v>
      </c>
      <c r="I9" s="29">
        <v>879.2</v>
      </c>
      <c r="J9" s="51">
        <v>2.4516650738807599</v>
      </c>
      <c r="K9" s="51">
        <v>2.4516650738807599</v>
      </c>
      <c r="L9" s="50">
        <f t="shared" ref="L9:L29" si="5">(K9-J9)/J9</f>
        <v>0</v>
      </c>
      <c r="M9" s="30">
        <f t="shared" ref="M9:M32" si="6">SUM(I9*K9)</f>
        <v>2155.503932955964</v>
      </c>
      <c r="N9" s="21" t="s">
        <v>65</v>
      </c>
      <c r="O9" s="29">
        <v>2150.25</v>
      </c>
      <c r="P9" s="51">
        <v>2.4516650738807599</v>
      </c>
      <c r="Q9" s="51">
        <v>2.4516650738807599</v>
      </c>
      <c r="R9" s="50">
        <f t="shared" si="2"/>
        <v>0</v>
      </c>
      <c r="S9" s="30">
        <f t="shared" ref="S9:S10" si="7">SUM(O9*Q9)</f>
        <v>5271.6928251121044</v>
      </c>
      <c r="T9" s="32">
        <f t="shared" si="3"/>
        <v>70.289237668161391</v>
      </c>
      <c r="U9" s="30">
        <f>SUM(План!C25)</f>
        <v>25012.5</v>
      </c>
      <c r="V9" s="26">
        <f t="shared" si="4"/>
        <v>300150</v>
      </c>
      <c r="W9" s="48"/>
    </row>
    <row r="10" spans="1:26" x14ac:dyDescent="0.25">
      <c r="A10" s="33" t="s">
        <v>37</v>
      </c>
      <c r="B10" s="21" t="s">
        <v>65</v>
      </c>
      <c r="C10" s="29">
        <v>7172.8</v>
      </c>
      <c r="D10" s="51">
        <v>1.1868783846700399</v>
      </c>
      <c r="E10" s="51">
        <v>1.1941630522678801</v>
      </c>
      <c r="F10" s="50">
        <f t="shared" si="0"/>
        <v>6.1376697831306238E-3</v>
      </c>
      <c r="G10" s="30">
        <f t="shared" si="1"/>
        <v>8565.4927413070509</v>
      </c>
      <c r="H10" s="21" t="s">
        <v>65</v>
      </c>
      <c r="I10" s="29">
        <v>879.2</v>
      </c>
      <c r="J10" s="51">
        <v>1.1868783846700399</v>
      </c>
      <c r="K10" s="51">
        <v>1.1941630522678801</v>
      </c>
      <c r="L10" s="50">
        <f t="shared" si="5"/>
        <v>6.1376697831306238E-3</v>
      </c>
      <c r="M10" s="30">
        <f t="shared" si="6"/>
        <v>1049.9081555539203</v>
      </c>
      <c r="N10" s="21" t="s">
        <v>65</v>
      </c>
      <c r="O10" s="29">
        <v>2150.25</v>
      </c>
      <c r="P10" s="51">
        <v>1.1868783846700399</v>
      </c>
      <c r="Q10" s="51">
        <v>1.1941630522678801</v>
      </c>
      <c r="R10" s="50">
        <f t="shared" si="2"/>
        <v>6.1376697831306238E-3</v>
      </c>
      <c r="S10" s="30">
        <f t="shared" si="7"/>
        <v>2567.7491031390091</v>
      </c>
      <c r="T10" s="32">
        <f t="shared" si="3"/>
        <v>34.236654708520128</v>
      </c>
      <c r="U10" s="30">
        <f>SUM(План!C26)</f>
        <v>12183.15</v>
      </c>
      <c r="V10" s="26">
        <f t="shared" si="4"/>
        <v>146197.79999999999</v>
      </c>
      <c r="W10" s="48"/>
    </row>
    <row r="11" spans="1:26" ht="30" x14ac:dyDescent="0.25">
      <c r="A11" s="33" t="s">
        <v>80</v>
      </c>
      <c r="B11" s="21" t="s">
        <v>65</v>
      </c>
      <c r="C11" s="29">
        <v>7172.8</v>
      </c>
      <c r="D11" s="51">
        <v>13.1998412114974</v>
      </c>
      <c r="E11" s="51">
        <v>13.1998412114974</v>
      </c>
      <c r="F11" s="50">
        <f t="shared" si="0"/>
        <v>0</v>
      </c>
      <c r="G11" s="30">
        <f t="shared" si="1"/>
        <v>94679.82104182856</v>
      </c>
      <c r="H11" s="21" t="s">
        <v>65</v>
      </c>
      <c r="I11" s="29">
        <v>879.2</v>
      </c>
      <c r="J11" s="51">
        <v>13.1998412114974</v>
      </c>
      <c r="K11" s="51">
        <v>13.1998412114974</v>
      </c>
      <c r="L11" s="50">
        <f t="shared" si="5"/>
        <v>0</v>
      </c>
      <c r="M11" s="30">
        <f t="shared" si="6"/>
        <v>11605.300393148515</v>
      </c>
      <c r="N11" s="21" t="s">
        <v>65</v>
      </c>
      <c r="O11" s="29">
        <v>2150.25</v>
      </c>
      <c r="P11" s="51">
        <v>13.1998412114974</v>
      </c>
      <c r="Q11" s="51">
        <v>13.1998412114974</v>
      </c>
      <c r="R11" s="50">
        <f t="shared" si="2"/>
        <v>0</v>
      </c>
      <c r="S11" s="30">
        <f>SUM(O11*Q11)</f>
        <v>28382.958565022283</v>
      </c>
      <c r="T11" s="32">
        <f t="shared" si="3"/>
        <v>378.43944753363047</v>
      </c>
      <c r="U11" s="30">
        <f>SUM(План!C8)</f>
        <v>134668.08333333334</v>
      </c>
      <c r="V11" s="26">
        <f t="shared" si="4"/>
        <v>1616017</v>
      </c>
      <c r="W11" s="48"/>
    </row>
    <row r="12" spans="1:26" ht="30" x14ac:dyDescent="0.25">
      <c r="A12" s="33" t="s">
        <v>21</v>
      </c>
      <c r="B12" s="21" t="s">
        <v>65</v>
      </c>
      <c r="C12" s="29">
        <v>7172.8</v>
      </c>
      <c r="D12" s="51">
        <v>10.5337303045896</v>
      </c>
      <c r="E12" s="51">
        <v>10.5337303045896</v>
      </c>
      <c r="F12" s="50">
        <f t="shared" si="0"/>
        <v>0</v>
      </c>
      <c r="G12" s="30">
        <f t="shared" si="1"/>
        <v>75556.340728760289</v>
      </c>
      <c r="H12" s="21" t="s">
        <v>65</v>
      </c>
      <c r="I12" s="29">
        <v>879.2</v>
      </c>
      <c r="J12" s="51">
        <v>10.5337303045896</v>
      </c>
      <c r="K12" s="51">
        <v>10.5337303045896</v>
      </c>
      <c r="L12" s="50">
        <f t="shared" si="5"/>
        <v>0</v>
      </c>
      <c r="M12" s="30">
        <f t="shared" si="6"/>
        <v>9261.2556837951761</v>
      </c>
      <c r="N12" s="21" t="s">
        <v>65</v>
      </c>
      <c r="O12" s="29">
        <v>2150.25</v>
      </c>
      <c r="P12" s="51">
        <v>10.5337303045896</v>
      </c>
      <c r="Q12" s="51">
        <v>10.5337303045896</v>
      </c>
      <c r="R12" s="50">
        <f t="shared" si="2"/>
        <v>0</v>
      </c>
      <c r="S12" s="30">
        <f>SUM(O12*Q12)</f>
        <v>22650.153587443787</v>
      </c>
      <c r="T12" s="32">
        <f t="shared" si="3"/>
        <v>302.00204783258386</v>
      </c>
      <c r="U12" s="30">
        <f>SUM(План!C27)</f>
        <v>107467.75</v>
      </c>
      <c r="V12" s="26">
        <f t="shared" si="4"/>
        <v>1289613</v>
      </c>
      <c r="W12" s="48"/>
    </row>
    <row r="13" spans="1:26" x14ac:dyDescent="0.25">
      <c r="A13" s="33" t="s">
        <v>83</v>
      </c>
      <c r="B13" s="21" t="s">
        <v>65</v>
      </c>
      <c r="C13" s="29">
        <v>7172.8</v>
      </c>
      <c r="D13" s="51">
        <v>0.81272954495331917</v>
      </c>
      <c r="E13" s="51">
        <v>0.81272954495331917</v>
      </c>
      <c r="F13" s="50">
        <f t="shared" si="0"/>
        <v>0</v>
      </c>
      <c r="G13" s="30">
        <f t="shared" si="1"/>
        <v>5829.5464800411683</v>
      </c>
      <c r="H13" s="21" t="s">
        <v>65</v>
      </c>
      <c r="I13" s="29">
        <v>879.2</v>
      </c>
      <c r="J13" s="51">
        <v>0.81272954495331917</v>
      </c>
      <c r="K13" s="51">
        <v>0.81272954495331917</v>
      </c>
      <c r="L13" s="50">
        <f t="shared" si="5"/>
        <v>0</v>
      </c>
      <c r="M13" s="30">
        <f t="shared" si="6"/>
        <v>714.55181592295821</v>
      </c>
      <c r="N13" s="21" t="s">
        <v>65</v>
      </c>
      <c r="O13" s="29">
        <v>2150.25</v>
      </c>
      <c r="P13" s="51">
        <v>0.81272954495331917</v>
      </c>
      <c r="Q13" s="51">
        <v>0.81272954495331917</v>
      </c>
      <c r="R13" s="50">
        <f>(Q13-P13)/P13</f>
        <v>0</v>
      </c>
      <c r="S13" s="30">
        <f>SUM(O13*Q13)</f>
        <v>1747.5717040358745</v>
      </c>
      <c r="T13" s="32">
        <f t="shared" si="3"/>
        <v>23.300956053811664</v>
      </c>
      <c r="U13" s="30">
        <f>SUM(План!C9)</f>
        <v>8291.67</v>
      </c>
      <c r="V13" s="26">
        <f t="shared" si="4"/>
        <v>99500.040000000008</v>
      </c>
      <c r="W13" s="48"/>
    </row>
    <row r="14" spans="1:26" ht="30" x14ac:dyDescent="0.25">
      <c r="A14" s="33" t="s">
        <v>14</v>
      </c>
      <c r="B14" s="21" t="s">
        <v>65</v>
      </c>
      <c r="C14" s="29">
        <v>7172.8</v>
      </c>
      <c r="D14" s="51">
        <v>9.8017594158151394E-2</v>
      </c>
      <c r="E14" s="51">
        <v>7.3513195618613497E-2</v>
      </c>
      <c r="F14" s="50">
        <f t="shared" si="0"/>
        <v>-0.2500000000000005</v>
      </c>
      <c r="G14" s="30">
        <f t="shared" si="1"/>
        <v>527.29544953319089</v>
      </c>
      <c r="H14" s="21" t="s">
        <v>65</v>
      </c>
      <c r="I14" s="29">
        <v>879.2</v>
      </c>
      <c r="J14" s="51">
        <v>9.8017594158151394E-2</v>
      </c>
      <c r="K14" s="51">
        <v>7.3513195618613497E-2</v>
      </c>
      <c r="L14" s="50">
        <f t="shared" si="5"/>
        <v>-0.2500000000000005</v>
      </c>
      <c r="M14" s="30">
        <f t="shared" si="6"/>
        <v>64.632801587884984</v>
      </c>
      <c r="N14" s="21" t="s">
        <v>65</v>
      </c>
      <c r="O14" s="29">
        <v>2150.25</v>
      </c>
      <c r="P14" s="51">
        <v>9.8017594158151394E-2</v>
      </c>
      <c r="Q14" s="51">
        <v>7.3513195618613497E-2</v>
      </c>
      <c r="R14" s="50">
        <f t="shared" si="2"/>
        <v>-0.2500000000000005</v>
      </c>
      <c r="S14" s="30">
        <f>SUM(O14*Q14)</f>
        <v>158.07174887892367</v>
      </c>
      <c r="T14" s="32">
        <f t="shared" si="3"/>
        <v>2.1076233183856492</v>
      </c>
      <c r="U14" s="30">
        <f>SUM(План!C10)</f>
        <v>750</v>
      </c>
      <c r="V14" s="26">
        <f t="shared" si="4"/>
        <v>9000</v>
      </c>
      <c r="W14" s="48"/>
    </row>
    <row r="15" spans="1:26" ht="30" x14ac:dyDescent="0.25">
      <c r="A15" s="33" t="s">
        <v>73</v>
      </c>
      <c r="B15" s="21" t="s">
        <v>65</v>
      </c>
      <c r="C15" s="29">
        <v>7172.8</v>
      </c>
      <c r="D15" s="51">
        <v>0.28588497635325544</v>
      </c>
      <c r="E15" s="51">
        <v>0.68612315910705901</v>
      </c>
      <c r="F15" s="50">
        <f t="shared" si="0"/>
        <v>1.3999972571459891</v>
      </c>
      <c r="G15" s="34">
        <f t="shared" si="1"/>
        <v>4921.4241956431133</v>
      </c>
      <c r="H15" s="21" t="s">
        <v>65</v>
      </c>
      <c r="I15" s="29">
        <v>879.2</v>
      </c>
      <c r="J15" s="51">
        <v>0.28588497635325544</v>
      </c>
      <c r="K15" s="51">
        <v>0.68612315910705901</v>
      </c>
      <c r="L15" s="50">
        <f t="shared" si="5"/>
        <v>1.3999972571459891</v>
      </c>
      <c r="M15" s="30">
        <f t="shared" si="6"/>
        <v>603.23948148692637</v>
      </c>
      <c r="N15" s="21" t="s">
        <v>65</v>
      </c>
      <c r="O15" s="29">
        <v>2150.25</v>
      </c>
      <c r="P15" s="51">
        <v>0.28588497635325544</v>
      </c>
      <c r="Q15" s="51">
        <v>0.68612315910705901</v>
      </c>
      <c r="R15" s="50">
        <f t="shared" si="2"/>
        <v>1.3999972571459891</v>
      </c>
      <c r="S15" s="30">
        <f>SUM(O15*Q15)</f>
        <v>1475.3363228699536</v>
      </c>
      <c r="T15" s="32">
        <f t="shared" si="3"/>
        <v>19.671150971599381</v>
      </c>
      <c r="U15" s="30">
        <f>SUM(План!C28)</f>
        <v>7000</v>
      </c>
      <c r="V15" s="26">
        <f t="shared" si="4"/>
        <v>84000</v>
      </c>
      <c r="W15" s="48"/>
    </row>
    <row r="16" spans="1:26" x14ac:dyDescent="0.25">
      <c r="A16" s="33" t="s">
        <v>118</v>
      </c>
      <c r="B16" s="21" t="s">
        <v>65</v>
      </c>
      <c r="C16" s="29">
        <v>7172.8</v>
      </c>
      <c r="D16" s="51">
        <v>0.49008797079075694</v>
      </c>
      <c r="E16" s="51">
        <v>0.49008797079075694</v>
      </c>
      <c r="F16" s="50">
        <f t="shared" si="0"/>
        <v>0</v>
      </c>
      <c r="G16" s="34">
        <f t="shared" si="1"/>
        <v>3515.3029968879414</v>
      </c>
      <c r="H16" s="21" t="s">
        <v>65</v>
      </c>
      <c r="I16" s="29">
        <v>879.2</v>
      </c>
      <c r="J16" s="51">
        <v>0.49008797079075694</v>
      </c>
      <c r="K16" s="51">
        <v>0.49008797079075694</v>
      </c>
      <c r="L16" s="50">
        <f t="shared" si="5"/>
        <v>0</v>
      </c>
      <c r="M16" s="30">
        <f t="shared" si="6"/>
        <v>430.88534391923355</v>
      </c>
      <c r="N16" s="21" t="s">
        <v>65</v>
      </c>
      <c r="O16" s="29">
        <v>2150.25</v>
      </c>
      <c r="P16" s="51">
        <v>0.49008797079075694</v>
      </c>
      <c r="Q16" s="51">
        <v>0.49008797079075694</v>
      </c>
      <c r="R16" s="50">
        <f t="shared" si="2"/>
        <v>0</v>
      </c>
      <c r="S16" s="30">
        <f t="shared" ref="S16" si="8">SUM(O16*Q16)</f>
        <v>1053.8116591928251</v>
      </c>
      <c r="T16" s="32">
        <f t="shared" si="3"/>
        <v>14.050822122571002</v>
      </c>
      <c r="U16" s="30">
        <f>SUM(План!C29)</f>
        <v>5000</v>
      </c>
      <c r="V16" s="26">
        <f t="shared" si="4"/>
        <v>60000</v>
      </c>
      <c r="W16" s="48"/>
    </row>
    <row r="17" spans="1:24" x14ac:dyDescent="0.25">
      <c r="A17" s="33" t="s">
        <v>98</v>
      </c>
      <c r="B17" s="21" t="s">
        <v>65</v>
      </c>
      <c r="C17" s="29">
        <v>7172.8</v>
      </c>
      <c r="D17" s="51">
        <v>2.3286140089418779</v>
      </c>
      <c r="E17" s="51">
        <v>2.3286140089418779</v>
      </c>
      <c r="F17" s="50">
        <f t="shared" si="0"/>
        <v>0</v>
      </c>
      <c r="G17" s="34">
        <f t="shared" si="1"/>
        <v>16702.682563338301</v>
      </c>
      <c r="H17" s="21" t="s">
        <v>65</v>
      </c>
      <c r="I17" s="29">
        <v>879.2</v>
      </c>
      <c r="J17" s="51">
        <v>2.3286140089418779</v>
      </c>
      <c r="K17" s="51">
        <v>2.3286140089418779</v>
      </c>
      <c r="L17" s="50">
        <f t="shared" si="5"/>
        <v>0</v>
      </c>
      <c r="M17" s="34">
        <f t="shared" si="6"/>
        <v>2047.317436661699</v>
      </c>
      <c r="N17" s="21" t="s">
        <v>65</v>
      </c>
      <c r="O17" s="29">
        <v>2150.25</v>
      </c>
      <c r="P17" s="51"/>
      <c r="Q17" s="51"/>
      <c r="R17" s="50"/>
      <c r="S17" s="34"/>
      <c r="T17" s="32"/>
      <c r="U17" s="30">
        <f>SUM(План!C30)</f>
        <v>18750</v>
      </c>
      <c r="V17" s="26">
        <f t="shared" si="4"/>
        <v>225000</v>
      </c>
      <c r="W17" s="48"/>
    </row>
    <row r="18" spans="1:24" x14ac:dyDescent="0.25">
      <c r="A18" s="33" t="s">
        <v>70</v>
      </c>
      <c r="B18" s="21" t="s">
        <v>65</v>
      </c>
      <c r="C18" s="29">
        <v>7172.8</v>
      </c>
      <c r="D18" s="51">
        <v>3.9863520301894102</v>
      </c>
      <c r="E18" s="51">
        <v>3.9863520301894102</v>
      </c>
      <c r="F18" s="50">
        <f t="shared" si="0"/>
        <v>0</v>
      </c>
      <c r="G18" s="30">
        <f t="shared" si="1"/>
        <v>28593.305842142603</v>
      </c>
      <c r="H18" s="21" t="s">
        <v>65</v>
      </c>
      <c r="I18" s="29">
        <v>879.2</v>
      </c>
      <c r="J18" s="51">
        <v>3.9863520301894102</v>
      </c>
      <c r="K18" s="51">
        <v>3.9863520301894102</v>
      </c>
      <c r="L18" s="50">
        <f t="shared" si="5"/>
        <v>0</v>
      </c>
      <c r="M18" s="30">
        <f t="shared" si="6"/>
        <v>3504.8007049425296</v>
      </c>
      <c r="N18" s="21" t="s">
        <v>65</v>
      </c>
      <c r="O18" s="29">
        <v>2150.25</v>
      </c>
      <c r="P18" s="51">
        <v>3.9863520301894102</v>
      </c>
      <c r="Q18" s="51">
        <v>3.9863520301894102</v>
      </c>
      <c r="R18" s="50">
        <f t="shared" si="2"/>
        <v>0</v>
      </c>
      <c r="S18" s="30">
        <f t="shared" ref="S18:S24" si="9">SUM(O18*Q18)</f>
        <v>8571.6534529147793</v>
      </c>
      <c r="T18" s="32">
        <f t="shared" ref="T18:T29" si="10">SUM(Q18)*28.67</f>
        <v>114.2887127055304</v>
      </c>
      <c r="U18" s="30">
        <f>SUM(План!C11)</f>
        <v>40669.761166666671</v>
      </c>
      <c r="V18" s="26">
        <f t="shared" si="4"/>
        <v>488037.13400000008</v>
      </c>
      <c r="W18" s="48"/>
    </row>
    <row r="19" spans="1:24" ht="30" x14ac:dyDescent="0.25">
      <c r="A19" s="33" t="s">
        <v>71</v>
      </c>
      <c r="B19" s="21" t="s">
        <v>65</v>
      </c>
      <c r="C19" s="29">
        <v>7172.8</v>
      </c>
      <c r="D19" s="51">
        <v>3.1811865029772801</v>
      </c>
      <c r="E19" s="51">
        <v>3.1811865029772801</v>
      </c>
      <c r="F19" s="50">
        <f t="shared" si="0"/>
        <v>0</v>
      </c>
      <c r="G19" s="30">
        <f t="shared" si="1"/>
        <v>22818.014548555435</v>
      </c>
      <c r="H19" s="21" t="s">
        <v>65</v>
      </c>
      <c r="I19" s="29">
        <v>879.2</v>
      </c>
      <c r="J19" s="51">
        <v>3.1811865029772801</v>
      </c>
      <c r="K19" s="51">
        <v>3.1811865029772801</v>
      </c>
      <c r="L19" s="50">
        <f t="shared" si="5"/>
        <v>0</v>
      </c>
      <c r="M19" s="30">
        <f t="shared" si="6"/>
        <v>2796.8991734176248</v>
      </c>
      <c r="N19" s="21" t="s">
        <v>65</v>
      </c>
      <c r="O19" s="29">
        <v>2150.25</v>
      </c>
      <c r="P19" s="51">
        <v>3.1811865029772801</v>
      </c>
      <c r="Q19" s="51">
        <v>3.1811865029772801</v>
      </c>
      <c r="R19" s="50">
        <f t="shared" si="2"/>
        <v>0</v>
      </c>
      <c r="S19" s="30">
        <f t="shared" si="9"/>
        <v>6840.3462780268965</v>
      </c>
      <c r="T19" s="32">
        <f t="shared" si="10"/>
        <v>91.204617040358627</v>
      </c>
      <c r="U19" s="30">
        <f>SUM(План!C31)</f>
        <v>32455.2605</v>
      </c>
      <c r="V19" s="26">
        <f t="shared" si="4"/>
        <v>389463.12599999999</v>
      </c>
      <c r="W19" s="48"/>
    </row>
    <row r="20" spans="1:24" x14ac:dyDescent="0.25">
      <c r="A20" s="33" t="s">
        <v>35</v>
      </c>
      <c r="B20" s="21" t="s">
        <v>65</v>
      </c>
      <c r="C20" s="29">
        <v>7172.8</v>
      </c>
      <c r="D20" s="51">
        <v>13.1235361365157</v>
      </c>
      <c r="E20" s="51">
        <v>13.1235361365157</v>
      </c>
      <c r="F20" s="50">
        <f t="shared" si="0"/>
        <v>0</v>
      </c>
      <c r="G20" s="30">
        <f t="shared" si="1"/>
        <v>94132.499999999811</v>
      </c>
      <c r="H20" s="21" t="s">
        <v>65</v>
      </c>
      <c r="I20" s="29">
        <v>879.2</v>
      </c>
      <c r="J20" s="51">
        <v>24.3033439490445</v>
      </c>
      <c r="K20" s="51">
        <v>24.3033439490445</v>
      </c>
      <c r="L20" s="50">
        <f t="shared" si="5"/>
        <v>0</v>
      </c>
      <c r="M20" s="30">
        <f t="shared" si="6"/>
        <v>21367.499999999924</v>
      </c>
      <c r="N20" s="21" t="s">
        <v>65</v>
      </c>
      <c r="O20" s="29">
        <v>2150.25</v>
      </c>
      <c r="P20" s="51">
        <v>53.714684339030299</v>
      </c>
      <c r="Q20" s="51">
        <v>53.714684339030299</v>
      </c>
      <c r="R20" s="50">
        <f t="shared" si="2"/>
        <v>0</v>
      </c>
      <c r="S20" s="30">
        <f>SUM(O20*Q20)</f>
        <v>115499.9999999999</v>
      </c>
      <c r="T20" s="32">
        <f t="shared" si="10"/>
        <v>1539.9999999999989</v>
      </c>
      <c r="U20" s="30">
        <f t="shared" ref="U20:U28" si="11">SUM(G20+M20+S20)</f>
        <v>230999.99999999965</v>
      </c>
      <c r="V20" s="26">
        <f t="shared" si="4"/>
        <v>2771999.9999999958</v>
      </c>
      <c r="W20" s="48"/>
    </row>
    <row r="21" spans="1:24" x14ac:dyDescent="0.25">
      <c r="A21" s="33" t="s">
        <v>18</v>
      </c>
      <c r="B21" s="21" t="s">
        <v>65</v>
      </c>
      <c r="C21" s="29">
        <v>7172.8</v>
      </c>
      <c r="D21" s="51">
        <v>0.17561518292533509</v>
      </c>
      <c r="E21" s="51">
        <v>0.17561518292533509</v>
      </c>
      <c r="F21" s="50">
        <f t="shared" si="0"/>
        <v>0</v>
      </c>
      <c r="G21" s="30">
        <f t="shared" si="1"/>
        <v>1259.6525840868435</v>
      </c>
      <c r="H21" s="21" t="s">
        <v>65</v>
      </c>
      <c r="I21" s="29">
        <v>879.2</v>
      </c>
      <c r="J21" s="51">
        <v>0.17561518292533509</v>
      </c>
      <c r="K21" s="51">
        <v>0.17561518292533509</v>
      </c>
      <c r="L21" s="50">
        <f t="shared" si="5"/>
        <v>0</v>
      </c>
      <c r="M21" s="30">
        <f t="shared" si="6"/>
        <v>154.40086882795461</v>
      </c>
      <c r="N21" s="21" t="s">
        <v>65</v>
      </c>
      <c r="O21" s="29">
        <v>2150.25</v>
      </c>
      <c r="P21" s="51">
        <v>0.17561518292533509</v>
      </c>
      <c r="Q21" s="51">
        <v>0.17561518292533509</v>
      </c>
      <c r="R21" s="50">
        <f t="shared" si="2"/>
        <v>0</v>
      </c>
      <c r="S21" s="30">
        <f t="shared" si="9"/>
        <v>377.61654708520177</v>
      </c>
      <c r="T21" s="32">
        <f t="shared" si="10"/>
        <v>5.0348872944693577</v>
      </c>
      <c r="U21" s="30">
        <f>SUM(План!C12)</f>
        <v>1791.67</v>
      </c>
      <c r="V21" s="26">
        <f t="shared" si="4"/>
        <v>21500.04</v>
      </c>
      <c r="W21" s="48"/>
    </row>
    <row r="22" spans="1:24" x14ac:dyDescent="0.25">
      <c r="A22" s="33" t="s">
        <v>19</v>
      </c>
      <c r="B22" s="21" t="s">
        <v>65</v>
      </c>
      <c r="C22" s="29">
        <v>7172.8</v>
      </c>
      <c r="D22" s="51">
        <v>0.39207037663260558</v>
      </c>
      <c r="E22" s="51">
        <v>0.39207037663260558</v>
      </c>
      <c r="F22" s="50">
        <f t="shared" si="0"/>
        <v>0</v>
      </c>
      <c r="G22" s="30">
        <f t="shared" si="1"/>
        <v>2812.2423975103534</v>
      </c>
      <c r="H22" s="21" t="s">
        <v>65</v>
      </c>
      <c r="I22" s="29">
        <v>879.2</v>
      </c>
      <c r="J22" s="51">
        <v>0.39207037663260558</v>
      </c>
      <c r="K22" s="51">
        <v>0.39207037663260558</v>
      </c>
      <c r="L22" s="50">
        <f t="shared" si="5"/>
        <v>0</v>
      </c>
      <c r="M22" s="30">
        <f t="shared" si="6"/>
        <v>344.70827513538683</v>
      </c>
      <c r="N22" s="21" t="s">
        <v>65</v>
      </c>
      <c r="O22" s="29">
        <v>2150.25</v>
      </c>
      <c r="P22" s="51">
        <v>0.39207037663260558</v>
      </c>
      <c r="Q22" s="51">
        <v>0.39207037663260558</v>
      </c>
      <c r="R22" s="50">
        <f t="shared" si="2"/>
        <v>0</v>
      </c>
      <c r="S22" s="30">
        <f t="shared" si="9"/>
        <v>843.04932735426019</v>
      </c>
      <c r="T22" s="32">
        <f t="shared" si="10"/>
        <v>11.240657698056802</v>
      </c>
      <c r="U22" s="30">
        <f>SUM(План!C13)</f>
        <v>4000</v>
      </c>
      <c r="V22" s="26">
        <f t="shared" si="4"/>
        <v>48000</v>
      </c>
      <c r="W22" s="48"/>
    </row>
    <row r="23" spans="1:24" x14ac:dyDescent="0.25">
      <c r="A23" s="33" t="s">
        <v>16</v>
      </c>
      <c r="B23" s="21" t="s">
        <v>65</v>
      </c>
      <c r="C23" s="29">
        <v>7172.8</v>
      </c>
      <c r="D23" s="51">
        <v>0.36756597809306701</v>
      </c>
      <c r="E23" s="51">
        <v>0.36756597809306701</v>
      </c>
      <c r="F23" s="50">
        <f t="shared" si="0"/>
        <v>0</v>
      </c>
      <c r="G23" s="30">
        <f t="shared" si="1"/>
        <v>2636.4772476659509</v>
      </c>
      <c r="H23" s="21" t="s">
        <v>65</v>
      </c>
      <c r="I23" s="29">
        <v>879.2</v>
      </c>
      <c r="J23" s="51">
        <v>0.36756597809306701</v>
      </c>
      <c r="K23" s="51">
        <v>0.36756597809306701</v>
      </c>
      <c r="L23" s="50">
        <f t="shared" si="5"/>
        <v>0</v>
      </c>
      <c r="M23" s="30">
        <f t="shared" si="6"/>
        <v>323.16400793942455</v>
      </c>
      <c r="N23" s="21" t="s">
        <v>65</v>
      </c>
      <c r="O23" s="29">
        <v>2150.25</v>
      </c>
      <c r="P23" s="51">
        <v>0.36756597809306701</v>
      </c>
      <c r="Q23" s="51">
        <v>0.36756597809306701</v>
      </c>
      <c r="R23" s="50">
        <f t="shared" si="2"/>
        <v>0</v>
      </c>
      <c r="S23" s="30">
        <f t="shared" si="9"/>
        <v>790.35874439461736</v>
      </c>
      <c r="T23" s="32">
        <f t="shared" si="10"/>
        <v>10.538116591928231</v>
      </c>
      <c r="U23" s="30">
        <f>SUM(План!C14)</f>
        <v>3750</v>
      </c>
      <c r="V23" s="26">
        <f t="shared" si="4"/>
        <v>45000</v>
      </c>
      <c r="W23" s="48"/>
    </row>
    <row r="24" spans="1:24" x14ac:dyDescent="0.25">
      <c r="A24" s="33" t="s">
        <v>36</v>
      </c>
      <c r="B24" s="21" t="s">
        <v>65</v>
      </c>
      <c r="C24" s="29">
        <v>7172.8</v>
      </c>
      <c r="D24" s="51">
        <v>2.0693739126173147</v>
      </c>
      <c r="E24" s="51">
        <v>2.0560150947095002</v>
      </c>
      <c r="F24" s="50">
        <f t="shared" si="0"/>
        <v>-6.4554877329629258E-3</v>
      </c>
      <c r="G24" s="30">
        <f t="shared" si="1"/>
        <v>14747.385071332303</v>
      </c>
      <c r="H24" s="21" t="s">
        <v>65</v>
      </c>
      <c r="I24" s="29">
        <v>879.2</v>
      </c>
      <c r="J24" s="51">
        <v>2.0693739126173147</v>
      </c>
      <c r="K24" s="51">
        <v>2.0560150947095002</v>
      </c>
      <c r="L24" s="50">
        <f t="shared" si="5"/>
        <v>-6.4554877329629258E-3</v>
      </c>
      <c r="M24" s="30">
        <f t="shared" si="6"/>
        <v>1807.6484712685926</v>
      </c>
      <c r="N24" s="21" t="s">
        <v>65</v>
      </c>
      <c r="O24" s="29">
        <v>2150.25</v>
      </c>
      <c r="P24" s="51">
        <v>2.0693739126173147</v>
      </c>
      <c r="Q24" s="51">
        <v>2.0560150947095002</v>
      </c>
      <c r="R24" s="50">
        <f t="shared" si="2"/>
        <v>-6.4554877329629258E-3</v>
      </c>
      <c r="S24" s="30">
        <f t="shared" si="9"/>
        <v>4420.9464573991027</v>
      </c>
      <c r="T24" s="32">
        <f t="shared" si="10"/>
        <v>58.945952765321373</v>
      </c>
      <c r="U24" s="30">
        <f>SUM(План!C33)</f>
        <v>20975.98</v>
      </c>
      <c r="V24" s="26">
        <f t="shared" si="4"/>
        <v>251711.76</v>
      </c>
      <c r="W24" s="48"/>
    </row>
    <row r="25" spans="1:24" x14ac:dyDescent="0.25">
      <c r="A25" s="33" t="s">
        <v>15</v>
      </c>
      <c r="B25" s="21" t="s">
        <v>65</v>
      </c>
      <c r="C25" s="29">
        <v>7172.8</v>
      </c>
      <c r="D25" s="51">
        <v>8.1681001739812298E-2</v>
      </c>
      <c r="E25" s="51">
        <v>8.1681001739812298E-2</v>
      </c>
      <c r="F25" s="50">
        <f t="shared" si="0"/>
        <v>0</v>
      </c>
      <c r="G25" s="30">
        <f t="shared" si="1"/>
        <v>585.88148927932571</v>
      </c>
      <c r="H25" s="21" t="s">
        <v>65</v>
      </c>
      <c r="I25" s="29">
        <v>879.2</v>
      </c>
      <c r="J25" s="51">
        <v>8.1681001739812298E-2</v>
      </c>
      <c r="K25" s="51">
        <v>8.1681001739812298E-2</v>
      </c>
      <c r="L25" s="50">
        <f t="shared" si="5"/>
        <v>0</v>
      </c>
      <c r="M25" s="30">
        <f t="shared" si="6"/>
        <v>71.813936729642975</v>
      </c>
      <c r="N25" s="21" t="s">
        <v>65</v>
      </c>
      <c r="O25" s="29">
        <v>2150.25</v>
      </c>
      <c r="P25" s="51">
        <v>8.1681001739812298E-2</v>
      </c>
      <c r="Q25" s="51">
        <v>8.1681001739812298E-2</v>
      </c>
      <c r="R25" s="50">
        <f t="shared" si="2"/>
        <v>0</v>
      </c>
      <c r="S25" s="30">
        <f>SUM(O25*Q25)</f>
        <v>175.6345739910314</v>
      </c>
      <c r="T25" s="32">
        <f t="shared" si="10"/>
        <v>2.3417943198804188</v>
      </c>
      <c r="U25" s="30">
        <f>SUM(План!C15)</f>
        <v>833.33</v>
      </c>
      <c r="V25" s="26">
        <f t="shared" si="4"/>
        <v>9999.9600000000009</v>
      </c>
      <c r="W25" s="48"/>
    </row>
    <row r="26" spans="1:24" x14ac:dyDescent="0.25">
      <c r="A26" s="33" t="s">
        <v>57</v>
      </c>
      <c r="B26" s="21" t="s">
        <v>65</v>
      </c>
      <c r="C26" s="29">
        <v>7172.8</v>
      </c>
      <c r="D26" s="51">
        <v>12.7422872405596</v>
      </c>
      <c r="E26" s="51">
        <v>12.7422872405596</v>
      </c>
      <c r="F26" s="50">
        <f t="shared" si="0"/>
        <v>0</v>
      </c>
      <c r="G26" s="30">
        <f t="shared" si="1"/>
        <v>91397.877919085906</v>
      </c>
      <c r="H26" s="21" t="s">
        <v>65</v>
      </c>
      <c r="I26" s="29">
        <v>879.2</v>
      </c>
      <c r="J26" s="51">
        <v>12.7422872405596</v>
      </c>
      <c r="K26" s="51">
        <v>12.7422872405596</v>
      </c>
      <c r="L26" s="50">
        <f t="shared" si="5"/>
        <v>0</v>
      </c>
      <c r="M26" s="30">
        <f t="shared" si="6"/>
        <v>11203.018941900002</v>
      </c>
      <c r="N26" s="21" t="s">
        <v>65</v>
      </c>
      <c r="O26" s="29">
        <v>2150.25</v>
      </c>
      <c r="P26" s="51">
        <v>12.7422872405596</v>
      </c>
      <c r="Q26" s="51">
        <v>12.7422872405596</v>
      </c>
      <c r="R26" s="50">
        <f t="shared" si="2"/>
        <v>0</v>
      </c>
      <c r="S26" s="30">
        <f>SUM(O26*Q26)</f>
        <v>27399.103139013281</v>
      </c>
      <c r="T26" s="32">
        <f t="shared" si="10"/>
        <v>365.32137518684374</v>
      </c>
      <c r="U26" s="30">
        <f>SUM(План!C34)</f>
        <v>130000</v>
      </c>
      <c r="V26" s="26">
        <f t="shared" si="4"/>
        <v>1560000</v>
      </c>
      <c r="W26" s="48"/>
    </row>
    <row r="27" spans="1:24" x14ac:dyDescent="0.25">
      <c r="A27" s="33" t="s">
        <v>58</v>
      </c>
      <c r="B27" s="21" t="s">
        <v>65</v>
      </c>
      <c r="C27" s="29">
        <v>7172.8</v>
      </c>
      <c r="D27" s="51">
        <v>1.8378298904653385</v>
      </c>
      <c r="E27" s="51">
        <v>1.8378298904653385</v>
      </c>
      <c r="F27" s="50">
        <f t="shared" si="0"/>
        <v>0</v>
      </c>
      <c r="G27" s="30">
        <f t="shared" si="1"/>
        <v>13182.38623832978</v>
      </c>
      <c r="H27" s="21" t="s">
        <v>65</v>
      </c>
      <c r="I27" s="29">
        <v>879.2</v>
      </c>
      <c r="J27" s="51">
        <v>1.8378298904653385</v>
      </c>
      <c r="K27" s="51">
        <v>1.8378298904653385</v>
      </c>
      <c r="L27" s="50">
        <f t="shared" si="5"/>
        <v>0</v>
      </c>
      <c r="M27" s="30">
        <f t="shared" si="6"/>
        <v>1615.8200396971256</v>
      </c>
      <c r="N27" s="21" t="s">
        <v>65</v>
      </c>
      <c r="O27" s="29">
        <v>2150.25</v>
      </c>
      <c r="P27" s="51">
        <v>1.8378298904653385</v>
      </c>
      <c r="Q27" s="51">
        <v>1.8378298904653385</v>
      </c>
      <c r="R27" s="50">
        <f t="shared" si="2"/>
        <v>0</v>
      </c>
      <c r="S27" s="30">
        <f>SUM(O27*Q27)</f>
        <v>3951.7937219730943</v>
      </c>
      <c r="T27" s="32">
        <f t="shared" si="10"/>
        <v>52.690582959641262</v>
      </c>
      <c r="U27" s="30">
        <f>SUM(План!C35)</f>
        <v>18750</v>
      </c>
      <c r="V27" s="26">
        <f t="shared" si="4"/>
        <v>225000</v>
      </c>
      <c r="W27" s="48"/>
    </row>
    <row r="28" spans="1:24" ht="30" x14ac:dyDescent="0.25">
      <c r="A28" s="33" t="s">
        <v>97</v>
      </c>
      <c r="B28" s="21" t="s">
        <v>65</v>
      </c>
      <c r="C28" s="29">
        <v>7172.8</v>
      </c>
      <c r="D28" s="51">
        <v>0.4</v>
      </c>
      <c r="E28" s="51">
        <v>0.48795449475797398</v>
      </c>
      <c r="F28" s="50">
        <f t="shared" si="0"/>
        <v>0.21988623689493489</v>
      </c>
      <c r="G28" s="30">
        <f t="shared" si="1"/>
        <v>3499.9999999999959</v>
      </c>
      <c r="H28" s="21" t="s">
        <v>65</v>
      </c>
      <c r="I28" s="29">
        <v>879.2</v>
      </c>
      <c r="J28" s="51">
        <v>5.1051775074683503</v>
      </c>
      <c r="K28" s="51">
        <v>5.3276997474789098</v>
      </c>
      <c r="L28" s="50">
        <f t="shared" si="5"/>
        <v>4.3587561781158905E-2</v>
      </c>
      <c r="M28" s="30">
        <f t="shared" si="6"/>
        <v>4684.1136179834575</v>
      </c>
      <c r="N28" s="21" t="s">
        <v>65</v>
      </c>
      <c r="O28" s="29">
        <v>2150.25</v>
      </c>
      <c r="P28" s="51">
        <v>5.1051775074683503</v>
      </c>
      <c r="Q28" s="51">
        <v>5.3276997474789098</v>
      </c>
      <c r="R28" s="50">
        <f t="shared" si="2"/>
        <v>4.3587561781158905E-2</v>
      </c>
      <c r="S28" s="30">
        <f>SUM(O28*Q28)</f>
        <v>11455.886382016526</v>
      </c>
      <c r="T28" s="32">
        <f t="shared" si="10"/>
        <v>152.74515176022035</v>
      </c>
      <c r="U28" s="30">
        <f t="shared" si="11"/>
        <v>19639.999999999978</v>
      </c>
      <c r="V28" s="26">
        <f t="shared" si="4"/>
        <v>235679.99999999974</v>
      </c>
      <c r="W28" s="48"/>
    </row>
    <row r="29" spans="1:24" x14ac:dyDescent="0.25">
      <c r="A29" s="22" t="s">
        <v>49</v>
      </c>
      <c r="B29" s="21" t="s">
        <v>65</v>
      </c>
      <c r="C29" s="29">
        <v>4115.2</v>
      </c>
      <c r="D29" s="51">
        <v>1.084727733338932</v>
      </c>
      <c r="E29" s="51">
        <v>1.084727733338932</v>
      </c>
      <c r="F29" s="50">
        <f t="shared" si="0"/>
        <v>0</v>
      </c>
      <c r="G29" s="30">
        <f t="shared" si="1"/>
        <v>4463.8715682363727</v>
      </c>
      <c r="H29" s="21" t="s">
        <v>65</v>
      </c>
      <c r="I29" s="29">
        <v>879.2</v>
      </c>
      <c r="J29" s="51">
        <v>1.084727733338932</v>
      </c>
      <c r="K29" s="51">
        <v>1.084727733338932</v>
      </c>
      <c r="L29" s="50">
        <f t="shared" si="5"/>
        <v>0</v>
      </c>
      <c r="M29" s="30">
        <f t="shared" si="6"/>
        <v>953.69262315158903</v>
      </c>
      <c r="N29" s="21" t="s">
        <v>65</v>
      </c>
      <c r="O29" s="29">
        <v>2150.25</v>
      </c>
      <c r="P29" s="51">
        <v>1.084727733338932</v>
      </c>
      <c r="Q29" s="51">
        <v>1.084727733338932</v>
      </c>
      <c r="R29" s="50">
        <f t="shared" si="2"/>
        <v>0</v>
      </c>
      <c r="S29" s="30">
        <f>SUM(O29*Q29)</f>
        <v>2332.4358086120387</v>
      </c>
      <c r="T29" s="32">
        <f t="shared" si="10"/>
        <v>31.099144114827183</v>
      </c>
      <c r="U29" s="30">
        <f>SUM(План!C37)</f>
        <v>7750</v>
      </c>
      <c r="V29" s="26">
        <f t="shared" si="4"/>
        <v>93000</v>
      </c>
      <c r="W29" s="48"/>
    </row>
    <row r="30" spans="1:24" x14ac:dyDescent="0.25">
      <c r="A30" s="22" t="s">
        <v>129</v>
      </c>
      <c r="B30" s="21" t="s">
        <v>65</v>
      </c>
      <c r="C30" s="29">
        <v>7172.8</v>
      </c>
      <c r="D30" s="51">
        <v>0.57160383671648451</v>
      </c>
      <c r="E30" s="51">
        <v>0.57160383671648451</v>
      </c>
      <c r="F30" s="50">
        <f t="shared" si="0"/>
        <v>0</v>
      </c>
      <c r="G30" s="30">
        <f t="shared" si="1"/>
        <v>4100</v>
      </c>
      <c r="H30" s="21" t="s">
        <v>65</v>
      </c>
      <c r="I30" s="29">
        <v>879.2</v>
      </c>
      <c r="J30" s="51"/>
      <c r="K30" s="51"/>
      <c r="L30" s="50"/>
      <c r="M30" s="30">
        <f t="shared" si="6"/>
        <v>0</v>
      </c>
      <c r="N30" s="21" t="s">
        <v>65</v>
      </c>
      <c r="O30" s="29">
        <v>2150.25</v>
      </c>
      <c r="P30" s="51"/>
      <c r="Q30" s="51"/>
      <c r="R30" s="50"/>
      <c r="S30" s="34"/>
      <c r="T30" s="32"/>
      <c r="U30" s="34">
        <f>SUM(План!C38)</f>
        <v>4100</v>
      </c>
      <c r="V30" s="26">
        <f t="shared" si="4"/>
        <v>49200</v>
      </c>
      <c r="W30" s="48"/>
    </row>
    <row r="31" spans="1:24" x14ac:dyDescent="0.25">
      <c r="A31" s="22" t="s">
        <v>54</v>
      </c>
      <c r="B31" s="21" t="s">
        <v>65</v>
      </c>
      <c r="C31" s="29">
        <v>7172.8</v>
      </c>
      <c r="D31" s="51">
        <v>1.0928961748633881</v>
      </c>
      <c r="E31" s="51">
        <v>1.0928961748633881</v>
      </c>
      <c r="F31" s="50">
        <f t="shared" si="0"/>
        <v>0</v>
      </c>
      <c r="G31" s="30">
        <f t="shared" si="1"/>
        <v>7839.1256830601105</v>
      </c>
      <c r="H31" s="21" t="s">
        <v>65</v>
      </c>
      <c r="I31" s="29">
        <v>879.2</v>
      </c>
      <c r="J31" s="51">
        <v>1.0928961748633881</v>
      </c>
      <c r="K31" s="51">
        <v>1.0928961748633881</v>
      </c>
      <c r="L31" s="50">
        <f t="shared" ref="L31:L32" si="12">(K31-J31)/J31</f>
        <v>0</v>
      </c>
      <c r="M31" s="30">
        <f t="shared" si="6"/>
        <v>960.87431693989083</v>
      </c>
      <c r="N31" s="21" t="s">
        <v>65</v>
      </c>
      <c r="O31" s="29">
        <v>2150.25</v>
      </c>
      <c r="P31" s="51"/>
      <c r="Q31" s="51"/>
      <c r="R31" s="50"/>
      <c r="S31" s="34"/>
      <c r="T31" s="32"/>
      <c r="U31" s="34">
        <f>SUM(План!C39)</f>
        <v>8800</v>
      </c>
      <c r="V31" s="26">
        <f t="shared" si="4"/>
        <v>105600</v>
      </c>
      <c r="W31" s="48"/>
      <c r="X31" s="44"/>
    </row>
    <row r="32" spans="1:24" x14ac:dyDescent="0.25">
      <c r="A32" s="22" t="s">
        <v>17</v>
      </c>
      <c r="B32" s="21" t="s">
        <v>65</v>
      </c>
      <c r="C32" s="29">
        <v>7172.8</v>
      </c>
      <c r="D32" s="51">
        <v>7.8793403415913205E-2</v>
      </c>
      <c r="E32" s="51">
        <v>0.12923815824940499</v>
      </c>
      <c r="F32" s="50">
        <f>(E32-D32)/D32</f>
        <v>0.64021545772325283</v>
      </c>
      <c r="G32" s="30">
        <f t="shared" si="1"/>
        <v>926.99946149133211</v>
      </c>
      <c r="H32" s="21" t="s">
        <v>65</v>
      </c>
      <c r="I32" s="29">
        <v>879.2</v>
      </c>
      <c r="J32" s="51">
        <v>7.8793403415913205E-2</v>
      </c>
      <c r="K32" s="51">
        <v>0.12923815824940499</v>
      </c>
      <c r="L32" s="50">
        <f t="shared" si="12"/>
        <v>0.64021545772325283</v>
      </c>
      <c r="M32" s="30">
        <f t="shared" si="6"/>
        <v>113.62618873287687</v>
      </c>
      <c r="N32" s="21" t="s">
        <v>65</v>
      </c>
      <c r="O32" s="29">
        <v>2150.25</v>
      </c>
      <c r="P32" s="51">
        <v>7.8793403415913205E-2</v>
      </c>
      <c r="Q32" s="51">
        <v>0.12923815824940499</v>
      </c>
      <c r="R32" s="50">
        <f t="shared" ref="R32" si="13">(Q32-P32)/P32</f>
        <v>0.64021545772325283</v>
      </c>
      <c r="S32" s="30">
        <f>SUM(O32*Q32)</f>
        <v>277.8943497757831</v>
      </c>
      <c r="T32" s="32">
        <f t="shared" ref="T32" si="14">SUM(Q32)*28.67</f>
        <v>3.7052579970104413</v>
      </c>
      <c r="U32" s="34">
        <f>SUM(План!C16)</f>
        <v>1318.52</v>
      </c>
      <c r="V32" s="26">
        <f t="shared" si="4"/>
        <v>15822.24</v>
      </c>
      <c r="W32" s="48"/>
    </row>
    <row r="33" spans="1:58" x14ac:dyDescent="0.25">
      <c r="A33" s="22"/>
      <c r="B33" s="22"/>
      <c r="C33" s="31"/>
      <c r="D33" s="20"/>
      <c r="E33" s="20"/>
      <c r="F33" s="50"/>
      <c r="G33" s="34"/>
      <c r="H33" s="22"/>
      <c r="I33" s="31"/>
      <c r="J33" s="20"/>
      <c r="K33" s="20"/>
      <c r="L33" s="50"/>
      <c r="M33" s="34"/>
      <c r="N33" s="22"/>
      <c r="O33" s="29"/>
      <c r="P33" s="20"/>
      <c r="Q33" s="20"/>
      <c r="R33" s="50"/>
      <c r="S33" s="30"/>
      <c r="T33" s="32"/>
      <c r="U33" s="34"/>
      <c r="V33" s="34"/>
    </row>
    <row r="34" spans="1:58" x14ac:dyDescent="0.25">
      <c r="A34" s="24" t="s">
        <v>50</v>
      </c>
      <c r="B34" s="24" t="s">
        <v>117</v>
      </c>
      <c r="C34" s="26">
        <v>67</v>
      </c>
      <c r="D34" s="35">
        <v>97.5</v>
      </c>
      <c r="E34" s="35">
        <v>106.25</v>
      </c>
      <c r="F34" s="28">
        <f>(E34-D34)/D34</f>
        <v>8.9743589743589744E-2</v>
      </c>
      <c r="G34" s="26">
        <f>SUM(C34*E34)</f>
        <v>7118.75</v>
      </c>
      <c r="H34" s="24" t="s">
        <v>81</v>
      </c>
      <c r="I34" s="26">
        <v>879.2</v>
      </c>
      <c r="J34" s="36"/>
      <c r="K34" s="36"/>
      <c r="L34" s="28"/>
      <c r="M34" s="36"/>
      <c r="N34" s="24" t="s">
        <v>112</v>
      </c>
      <c r="O34" s="26">
        <v>2150.25</v>
      </c>
      <c r="P34" s="36"/>
      <c r="Q34" s="36"/>
      <c r="R34" s="28"/>
      <c r="S34" s="26"/>
      <c r="T34" s="26"/>
      <c r="U34" s="36">
        <f>SUM(G34)</f>
        <v>7118.75</v>
      </c>
      <c r="V34" s="26">
        <f t="shared" si="4"/>
        <v>85425</v>
      </c>
    </row>
    <row r="35" spans="1:58" x14ac:dyDescent="0.25">
      <c r="A35" s="22"/>
      <c r="B35" s="22"/>
      <c r="C35" s="31"/>
      <c r="D35" s="41"/>
      <c r="E35" s="41"/>
      <c r="F35" s="50"/>
      <c r="G35" s="34"/>
      <c r="H35" s="22"/>
      <c r="I35" s="31"/>
      <c r="J35" s="41"/>
      <c r="K35" s="41"/>
      <c r="L35" s="50"/>
      <c r="M35" s="34"/>
      <c r="N35" s="22"/>
      <c r="O35" s="29"/>
      <c r="P35" s="41"/>
      <c r="Q35" s="41"/>
      <c r="R35" s="50"/>
      <c r="S35" s="36"/>
      <c r="T35" s="38"/>
      <c r="U35" s="34"/>
      <c r="V35" s="34"/>
    </row>
    <row r="36" spans="1:58" x14ac:dyDescent="0.25">
      <c r="A36" s="24" t="s">
        <v>56</v>
      </c>
      <c r="B36" s="25" t="s">
        <v>65</v>
      </c>
      <c r="C36" s="26">
        <v>7172.8</v>
      </c>
      <c r="D36" s="36">
        <v>0.87</v>
      </c>
      <c r="E36" s="36">
        <v>0.87</v>
      </c>
      <c r="F36" s="28">
        <f>(E36-D36)/D36</f>
        <v>0</v>
      </c>
      <c r="G36" s="36">
        <f>SUM(C36*E36)</f>
        <v>6240.3360000000002</v>
      </c>
      <c r="H36" s="25" t="s">
        <v>65</v>
      </c>
      <c r="I36" s="26">
        <v>879.2</v>
      </c>
      <c r="J36" s="36">
        <v>0.87</v>
      </c>
      <c r="K36" s="36">
        <v>0.87</v>
      </c>
      <c r="L36" s="28">
        <f>(K36-J36)/J36</f>
        <v>0</v>
      </c>
      <c r="M36" s="26">
        <f>SUM(I36*K36)</f>
        <v>764.904</v>
      </c>
      <c r="N36" s="25" t="s">
        <v>65</v>
      </c>
      <c r="O36" s="26">
        <v>2150.25</v>
      </c>
      <c r="P36" s="36">
        <v>0.87</v>
      </c>
      <c r="Q36" s="36">
        <v>0.87</v>
      </c>
      <c r="R36" s="28">
        <f>(Q36-P36)/P36</f>
        <v>0</v>
      </c>
      <c r="S36" s="26">
        <f>SUM(O36*Q36)</f>
        <v>1870.7175</v>
      </c>
      <c r="T36" s="26">
        <f t="shared" ref="T36" si="15">SUM(Q36)*28.67</f>
        <v>24.942900000000002</v>
      </c>
      <c r="U36" s="36">
        <f>SUM(G36,M36,S36)</f>
        <v>8875.9575000000004</v>
      </c>
      <c r="V36" s="26">
        <f t="shared" si="4"/>
        <v>106511.49</v>
      </c>
      <c r="W36" s="44"/>
    </row>
    <row r="37" spans="1:58" x14ac:dyDescent="0.25">
      <c r="A37" s="69" t="s">
        <v>152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37">
        <f t="shared" ref="U37:V37" si="16">SUM(U6:U36)</f>
        <v>885579.26249999972</v>
      </c>
      <c r="V37" s="37">
        <f t="shared" si="16"/>
        <v>10626951.149999997</v>
      </c>
      <c r="W37" s="44"/>
    </row>
    <row r="38" spans="1:58" ht="15" customHeight="1" x14ac:dyDescent="0.25">
      <c r="A38" s="71" t="s">
        <v>151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42"/>
      <c r="X38" s="42"/>
      <c r="Y38" s="42"/>
      <c r="Z38" s="42"/>
      <c r="AA38" s="42"/>
      <c r="AB38" s="42"/>
      <c r="AC38" s="42"/>
      <c r="AD38" s="42"/>
      <c r="AE38" s="44"/>
    </row>
    <row r="39" spans="1:58" ht="15" customHeight="1" x14ac:dyDescent="0.25">
      <c r="A39" s="69" t="s">
        <v>153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39"/>
      <c r="X39" s="39"/>
      <c r="Y39" s="39"/>
      <c r="Z39" s="44"/>
      <c r="AA39" s="44"/>
      <c r="AB39" s="44"/>
      <c r="AC39" s="44"/>
      <c r="AD39" s="44"/>
      <c r="AE39" s="44"/>
    </row>
    <row r="40" spans="1:58" x14ac:dyDescent="0.25">
      <c r="A40" s="24" t="s">
        <v>109</v>
      </c>
      <c r="B40" s="73" t="s">
        <v>111</v>
      </c>
      <c r="C40" s="73"/>
      <c r="D40" s="73"/>
      <c r="E40" s="73"/>
      <c r="F40" s="73" t="s">
        <v>175</v>
      </c>
      <c r="G40" s="73"/>
      <c r="H40" s="73"/>
      <c r="I40" s="73"/>
      <c r="J40" s="73" t="s">
        <v>178</v>
      </c>
      <c r="K40" s="73"/>
      <c r="L40" s="73"/>
      <c r="M40" s="73" t="s">
        <v>179</v>
      </c>
      <c r="N40" s="73"/>
      <c r="O40" s="73"/>
      <c r="P40" s="73"/>
      <c r="Q40" s="73" t="s">
        <v>108</v>
      </c>
      <c r="R40" s="73"/>
      <c r="S40" s="73"/>
      <c r="T40" s="73"/>
      <c r="U40" s="25" t="s">
        <v>78</v>
      </c>
      <c r="V40" s="25" t="s">
        <v>79</v>
      </c>
    </row>
    <row r="41" spans="1:58" ht="15" customHeight="1" x14ac:dyDescent="0.25">
      <c r="A41" s="40" t="s">
        <v>137</v>
      </c>
      <c r="B41" s="75" t="s">
        <v>110</v>
      </c>
      <c r="C41" s="75"/>
      <c r="D41" s="75"/>
      <c r="E41" s="75"/>
      <c r="F41" s="78">
        <v>4.0599999999999996</v>
      </c>
      <c r="G41" s="78"/>
      <c r="H41" s="78"/>
      <c r="I41" s="78"/>
      <c r="J41" s="74">
        <v>4.28</v>
      </c>
      <c r="K41" s="74"/>
      <c r="L41" s="74"/>
      <c r="M41" s="76">
        <f>SUM(J41-F41)/F41</f>
        <v>5.4187192118226764E-2</v>
      </c>
      <c r="N41" s="76"/>
      <c r="O41" s="76"/>
      <c r="P41" s="76"/>
      <c r="Q41" s="78">
        <v>4988.78</v>
      </c>
      <c r="R41" s="78"/>
      <c r="S41" s="78"/>
      <c r="T41" s="78"/>
      <c r="U41" s="31">
        <f>SUM(Q41*J41)</f>
        <v>21351.9784</v>
      </c>
      <c r="V41" s="36">
        <f t="shared" ref="V41:V46" si="17">SUM(U41)*12</f>
        <v>256223.7408</v>
      </c>
    </row>
    <row r="42" spans="1:58" x14ac:dyDescent="0.25">
      <c r="A42" s="40" t="s">
        <v>138</v>
      </c>
      <c r="B42" s="75" t="s">
        <v>110</v>
      </c>
      <c r="C42" s="75"/>
      <c r="D42" s="75"/>
      <c r="E42" s="75"/>
      <c r="F42" s="78">
        <v>2.34</v>
      </c>
      <c r="G42" s="78"/>
      <c r="H42" s="78"/>
      <c r="I42" s="78"/>
      <c r="J42" s="74">
        <v>2.36</v>
      </c>
      <c r="K42" s="74"/>
      <c r="L42" s="74"/>
      <c r="M42" s="76">
        <f t="shared" ref="M42:M45" si="18">SUM(J42-F42)/F42</f>
        <v>8.5470085470085548E-3</v>
      </c>
      <c r="N42" s="76"/>
      <c r="O42" s="76"/>
      <c r="P42" s="76"/>
      <c r="Q42" s="78">
        <v>2432.2399999999998</v>
      </c>
      <c r="R42" s="78"/>
      <c r="S42" s="78"/>
      <c r="T42" s="78"/>
      <c r="U42" s="31">
        <f>SUM(Q42*J42)</f>
        <v>5740.0863999999992</v>
      </c>
      <c r="V42" s="36">
        <f t="shared" si="17"/>
        <v>68881.036799999987</v>
      </c>
    </row>
    <row r="43" spans="1:58" x14ac:dyDescent="0.25">
      <c r="A43" s="40" t="s">
        <v>103</v>
      </c>
      <c r="B43" s="75" t="s">
        <v>107</v>
      </c>
      <c r="C43" s="75"/>
      <c r="D43" s="75"/>
      <c r="E43" s="75"/>
      <c r="F43" s="78">
        <v>1818.29</v>
      </c>
      <c r="G43" s="78"/>
      <c r="H43" s="78"/>
      <c r="I43" s="78"/>
      <c r="J43" s="74">
        <v>1880.11</v>
      </c>
      <c r="K43" s="74"/>
      <c r="L43" s="74"/>
      <c r="M43" s="76">
        <f t="shared" si="18"/>
        <v>3.3998977060864848E-2</v>
      </c>
      <c r="N43" s="76"/>
      <c r="O43" s="76"/>
      <c r="P43" s="76"/>
      <c r="Q43" s="78">
        <v>77.599999999999994</v>
      </c>
      <c r="R43" s="78"/>
      <c r="S43" s="78"/>
      <c r="T43" s="78"/>
      <c r="U43" s="31">
        <f>SUM(Q43*J43)</f>
        <v>145896.53599999999</v>
      </c>
      <c r="V43" s="36">
        <f t="shared" si="17"/>
        <v>1750758.432</v>
      </c>
    </row>
    <row r="44" spans="1:58" x14ac:dyDescent="0.25">
      <c r="A44" s="40" t="s">
        <v>76</v>
      </c>
      <c r="B44" s="75" t="s">
        <v>72</v>
      </c>
      <c r="C44" s="75"/>
      <c r="D44" s="75"/>
      <c r="E44" s="75"/>
      <c r="F44" s="78">
        <v>32.53</v>
      </c>
      <c r="G44" s="78"/>
      <c r="H44" s="78"/>
      <c r="I44" s="78"/>
      <c r="J44" s="74">
        <v>33.119999999999997</v>
      </c>
      <c r="K44" s="74"/>
      <c r="L44" s="74"/>
      <c r="M44" s="76">
        <f t="shared" si="18"/>
        <v>1.8137104211496967E-2</v>
      </c>
      <c r="N44" s="76"/>
      <c r="O44" s="76"/>
      <c r="P44" s="76"/>
      <c r="Q44" s="78">
        <v>472.01299999999998</v>
      </c>
      <c r="R44" s="78"/>
      <c r="S44" s="78"/>
      <c r="T44" s="78"/>
      <c r="U44" s="31">
        <f>SUM(Q44*J44)</f>
        <v>15633.070559999998</v>
      </c>
      <c r="V44" s="36">
        <f t="shared" si="17"/>
        <v>187596.84671999997</v>
      </c>
    </row>
    <row r="45" spans="1:58" x14ac:dyDescent="0.25">
      <c r="A45" s="40" t="s">
        <v>75</v>
      </c>
      <c r="B45" s="75" t="s">
        <v>72</v>
      </c>
      <c r="C45" s="75"/>
      <c r="D45" s="75"/>
      <c r="E45" s="75"/>
      <c r="F45" s="78">
        <v>32.53</v>
      </c>
      <c r="G45" s="78"/>
      <c r="H45" s="78"/>
      <c r="I45" s="78"/>
      <c r="J45" s="74">
        <v>33.119999999999997</v>
      </c>
      <c r="K45" s="74"/>
      <c r="L45" s="74"/>
      <c r="M45" s="76">
        <f t="shared" si="18"/>
        <v>1.8137104211496967E-2</v>
      </c>
      <c r="N45" s="76"/>
      <c r="O45" s="76"/>
      <c r="P45" s="76"/>
      <c r="Q45" s="78">
        <v>722.19</v>
      </c>
      <c r="R45" s="78"/>
      <c r="S45" s="78"/>
      <c r="T45" s="78"/>
      <c r="U45" s="31">
        <f>SUM(Q45*J45)</f>
        <v>23918.932799999999</v>
      </c>
      <c r="V45" s="36">
        <f t="shared" si="17"/>
        <v>287027.1936</v>
      </c>
    </row>
    <row r="46" spans="1:58" x14ac:dyDescent="0.25">
      <c r="A46" s="74" t="s">
        <v>154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36">
        <f>SUM(U41:U45)</f>
        <v>212540.60415999999</v>
      </c>
      <c r="V46" s="36">
        <f t="shared" si="17"/>
        <v>2550487.2499199999</v>
      </c>
    </row>
    <row r="47" spans="1:58" x14ac:dyDescent="0.25">
      <c r="A47" s="72" t="s">
        <v>158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37">
        <f t="shared" ref="U47" si="19">SUM(U46,U37)</f>
        <v>1098119.8666599998</v>
      </c>
      <c r="V47" s="37">
        <f>SUM(V46,V37)</f>
        <v>13177438.399919996</v>
      </c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</row>
    <row r="48" spans="1:58" x14ac:dyDescent="0.25">
      <c r="A48" s="71" t="s">
        <v>155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42"/>
      <c r="X48" s="42"/>
      <c r="Y48" s="42"/>
      <c r="Z48" s="42"/>
      <c r="AA48" s="42"/>
      <c r="AB48" s="42"/>
      <c r="AC48" s="42"/>
      <c r="AD48" s="42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</row>
    <row r="49" spans="1:58" x14ac:dyDescent="0.25">
      <c r="A49" s="73" t="s">
        <v>59</v>
      </c>
      <c r="B49" s="70" t="s">
        <v>104</v>
      </c>
      <c r="C49" s="70"/>
      <c r="D49" s="70"/>
      <c r="E49" s="70"/>
      <c r="F49" s="70"/>
      <c r="G49" s="70"/>
      <c r="H49" s="70" t="s">
        <v>105</v>
      </c>
      <c r="I49" s="70"/>
      <c r="J49" s="70"/>
      <c r="K49" s="70"/>
      <c r="L49" s="70"/>
      <c r="M49" s="70"/>
      <c r="N49" s="70" t="s">
        <v>106</v>
      </c>
      <c r="O49" s="70"/>
      <c r="P49" s="70"/>
      <c r="Q49" s="70"/>
      <c r="R49" s="70"/>
      <c r="S49" s="70"/>
      <c r="T49" s="70"/>
      <c r="U49" s="71" t="s">
        <v>156</v>
      </c>
      <c r="V49" s="71"/>
      <c r="W49" s="45"/>
      <c r="X49" s="45"/>
      <c r="Y49" s="45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</row>
    <row r="50" spans="1:58" x14ac:dyDescent="0.25">
      <c r="A50" s="73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71"/>
    </row>
    <row r="51" spans="1:58" ht="45" x14ac:dyDescent="0.25">
      <c r="A51" s="73"/>
      <c r="B51" s="21" t="s">
        <v>67</v>
      </c>
      <c r="C51" s="22" t="s">
        <v>184</v>
      </c>
      <c r="D51" s="22" t="s">
        <v>139</v>
      </c>
      <c r="E51" s="22" t="s">
        <v>162</v>
      </c>
      <c r="F51" s="23" t="s">
        <v>115</v>
      </c>
      <c r="G51" s="22" t="s">
        <v>69</v>
      </c>
      <c r="H51" s="21" t="s">
        <v>66</v>
      </c>
      <c r="I51" s="22" t="s">
        <v>184</v>
      </c>
      <c r="J51" s="22" t="s">
        <v>139</v>
      </c>
      <c r="K51" s="22" t="s">
        <v>162</v>
      </c>
      <c r="L51" s="23" t="s">
        <v>115</v>
      </c>
      <c r="M51" s="21" t="s">
        <v>69</v>
      </c>
      <c r="N51" s="21" t="s">
        <v>66</v>
      </c>
      <c r="O51" s="22" t="s">
        <v>184</v>
      </c>
      <c r="P51" s="22" t="s">
        <v>139</v>
      </c>
      <c r="Q51" s="22" t="s">
        <v>162</v>
      </c>
      <c r="R51" s="23" t="s">
        <v>115</v>
      </c>
      <c r="S51" s="21" t="s">
        <v>69</v>
      </c>
      <c r="T51" s="22" t="s">
        <v>77</v>
      </c>
      <c r="U51" s="21" t="s">
        <v>78</v>
      </c>
      <c r="V51" s="21" t="s">
        <v>79</v>
      </c>
      <c r="Y51" s="44"/>
    </row>
    <row r="52" spans="1:58" x14ac:dyDescent="0.25">
      <c r="A52" s="73"/>
      <c r="B52" s="53" t="s">
        <v>65</v>
      </c>
      <c r="C52" s="54">
        <v>7172.8</v>
      </c>
      <c r="D52" s="41">
        <v>8.74</v>
      </c>
      <c r="E52" s="36">
        <v>11.74</v>
      </c>
      <c r="F52" s="52">
        <f>(E52-D52)/D52</f>
        <v>0.34324942791762014</v>
      </c>
      <c r="G52" s="36">
        <f>SUM(C52*E52)</f>
        <v>84208.672000000006</v>
      </c>
      <c r="H52" s="53" t="s">
        <v>65</v>
      </c>
      <c r="I52" s="54">
        <v>879.2</v>
      </c>
      <c r="J52" s="41">
        <v>8.74</v>
      </c>
      <c r="K52" s="36">
        <v>11.74</v>
      </c>
      <c r="L52" s="52">
        <f>(K52-J52)/J52</f>
        <v>0.34324942791762014</v>
      </c>
      <c r="M52" s="26">
        <f>SUM(I52*K52)</f>
        <v>10321.808000000001</v>
      </c>
      <c r="N52" s="53" t="s">
        <v>65</v>
      </c>
      <c r="O52" s="54">
        <v>2150.25</v>
      </c>
      <c r="P52" s="41">
        <v>8.74</v>
      </c>
      <c r="Q52" s="36">
        <v>11.74</v>
      </c>
      <c r="R52" s="52">
        <f>(Q52-P52)/P52</f>
        <v>0.34324942791762014</v>
      </c>
      <c r="S52" s="26">
        <f>SUM(O52*Q52)</f>
        <v>25243.935000000001</v>
      </c>
      <c r="T52" s="55">
        <f>SUM(Q52)*28.67</f>
        <v>336.58580000000001</v>
      </c>
      <c r="U52" s="36">
        <f>SUM(G52,M52,S52)</f>
        <v>119774.41500000001</v>
      </c>
      <c r="V52" s="36">
        <f>SUM(U52)*12</f>
        <v>1437292.98</v>
      </c>
    </row>
    <row r="53" spans="1:58" x14ac:dyDescent="0.25">
      <c r="A53" s="72" t="s">
        <v>157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36">
        <f>SUM(U52,U47)</f>
        <v>1217894.2816599999</v>
      </c>
      <c r="V53" s="36">
        <f>SUM(V52,V47)</f>
        <v>14614731.379919996</v>
      </c>
    </row>
    <row r="54" spans="1:58" x14ac:dyDescent="0.25">
      <c r="A54" s="71" t="s">
        <v>182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0" t="s">
        <v>159</v>
      </c>
      <c r="N54" s="70"/>
      <c r="O54" s="70"/>
      <c r="P54" s="70"/>
      <c r="Q54" s="70"/>
      <c r="R54" s="70"/>
      <c r="S54" s="70"/>
      <c r="T54" s="70"/>
      <c r="U54" s="70"/>
      <c r="V54" s="70"/>
    </row>
    <row r="55" spans="1:58" ht="1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9" t="s">
        <v>160</v>
      </c>
      <c r="N55" s="79"/>
      <c r="O55" s="79"/>
      <c r="P55" s="79"/>
      <c r="Q55" s="79"/>
      <c r="R55" s="79"/>
      <c r="S55" s="79"/>
      <c r="T55" s="79"/>
      <c r="U55" s="79"/>
      <c r="V55" s="79"/>
    </row>
    <row r="56" spans="1:58" x14ac:dyDescent="0.25">
      <c r="A56" s="81" t="s">
        <v>183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0" t="s">
        <v>143</v>
      </c>
      <c r="N56" s="80"/>
      <c r="O56" s="81" t="s">
        <v>161</v>
      </c>
      <c r="P56" s="81"/>
      <c r="Q56" s="81"/>
      <c r="R56" s="80" t="s">
        <v>144</v>
      </c>
      <c r="S56" s="80"/>
      <c r="T56" s="80"/>
      <c r="U56" s="80" t="s">
        <v>145</v>
      </c>
      <c r="V56" s="80"/>
    </row>
    <row r="57" spans="1:58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0"/>
      <c r="N57" s="80"/>
      <c r="O57" s="81"/>
      <c r="P57" s="81"/>
      <c r="Q57" s="81"/>
      <c r="R57" s="80"/>
      <c r="S57" s="80"/>
      <c r="T57" s="80"/>
      <c r="U57" s="80"/>
      <c r="V57" s="80"/>
    </row>
    <row r="58" spans="1:58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0"/>
      <c r="N58" s="80"/>
      <c r="O58" s="81"/>
      <c r="P58" s="81"/>
      <c r="Q58" s="81"/>
      <c r="R58" s="80"/>
      <c r="S58" s="80"/>
      <c r="T58" s="80"/>
      <c r="U58" s="80"/>
      <c r="V58" s="80"/>
    </row>
    <row r="59" spans="1:58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0"/>
      <c r="N59" s="80"/>
      <c r="O59" s="81"/>
      <c r="P59" s="81"/>
      <c r="Q59" s="81"/>
      <c r="R59" s="80"/>
      <c r="S59" s="80"/>
      <c r="T59" s="80"/>
      <c r="U59" s="80"/>
      <c r="V59" s="80"/>
    </row>
    <row r="60" spans="1:58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77">
        <v>3382679.18</v>
      </c>
      <c r="N60" s="77"/>
      <c r="O60" s="77">
        <v>3159340.94</v>
      </c>
      <c r="P60" s="77"/>
      <c r="Q60" s="77"/>
      <c r="R60" s="77">
        <v>2264714</v>
      </c>
      <c r="S60" s="77"/>
      <c r="T60" s="77"/>
      <c r="U60" s="77">
        <v>894626.94</v>
      </c>
      <c r="V60" s="77"/>
    </row>
    <row r="63" spans="1:58" x14ac:dyDescent="0.25"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1:58" ht="15" customHeight="1" x14ac:dyDescent="0.25">
      <c r="F64" s="44"/>
      <c r="G64" s="42"/>
      <c r="H64" s="42"/>
      <c r="I64" s="42"/>
      <c r="J64" s="42"/>
      <c r="K64" s="42"/>
      <c r="L64" s="42"/>
      <c r="M64" s="42"/>
      <c r="N64" s="44"/>
      <c r="O64" s="44"/>
    </row>
    <row r="65" spans="6:15" x14ac:dyDescent="0.25">
      <c r="F65" s="44"/>
      <c r="G65" s="43"/>
      <c r="H65" s="43"/>
      <c r="I65" s="43"/>
      <c r="J65" s="43"/>
      <c r="K65" s="43"/>
      <c r="L65" s="43"/>
      <c r="M65" s="43"/>
      <c r="N65" s="44"/>
      <c r="O65" s="44"/>
    </row>
    <row r="66" spans="6:15" x14ac:dyDescent="0.25">
      <c r="F66" s="44"/>
      <c r="G66" s="43"/>
      <c r="H66" s="43"/>
      <c r="I66" s="43"/>
      <c r="J66" s="43"/>
      <c r="K66" s="43"/>
      <c r="L66" s="43"/>
      <c r="M66" s="43"/>
      <c r="N66" s="44"/>
      <c r="O66" s="44"/>
    </row>
    <row r="67" spans="6:15" x14ac:dyDescent="0.25">
      <c r="F67" s="44"/>
      <c r="G67" s="43"/>
      <c r="H67" s="43"/>
      <c r="I67" s="43"/>
      <c r="J67" s="43"/>
      <c r="K67" s="43"/>
      <c r="L67" s="43"/>
      <c r="M67" s="43"/>
      <c r="N67" s="44"/>
      <c r="O67" s="44"/>
    </row>
    <row r="68" spans="6:15" x14ac:dyDescent="0.25">
      <c r="F68" s="44"/>
      <c r="G68" s="43"/>
      <c r="H68" s="43"/>
      <c r="I68" s="43"/>
      <c r="J68" s="43"/>
      <c r="K68" s="43"/>
      <c r="L68" s="43"/>
      <c r="M68" s="43"/>
      <c r="N68" s="44"/>
      <c r="O68" s="44"/>
    </row>
    <row r="69" spans="6:15" x14ac:dyDescent="0.25">
      <c r="F69" s="44"/>
      <c r="G69" s="43"/>
      <c r="H69" s="43"/>
      <c r="I69" s="43"/>
      <c r="J69" s="43"/>
      <c r="K69" s="43"/>
      <c r="L69" s="43"/>
      <c r="M69" s="43"/>
      <c r="N69" s="44"/>
      <c r="O69" s="44"/>
    </row>
  </sheetData>
  <mergeCells count="60">
    <mergeCell ref="J40:L40"/>
    <mergeCell ref="J41:L41"/>
    <mergeCell ref="J42:L42"/>
    <mergeCell ref="J43:L43"/>
    <mergeCell ref="J44:L44"/>
    <mergeCell ref="Q40:T40"/>
    <mergeCell ref="Q41:T41"/>
    <mergeCell ref="Q42:T42"/>
    <mergeCell ref="Q43:T43"/>
    <mergeCell ref="Q44:T44"/>
    <mergeCell ref="F43:I43"/>
    <mergeCell ref="F44:I44"/>
    <mergeCell ref="F45:I45"/>
    <mergeCell ref="M54:V54"/>
    <mergeCell ref="M55:V55"/>
    <mergeCell ref="A54:L55"/>
    <mergeCell ref="Q45:T45"/>
    <mergeCell ref="J45:L45"/>
    <mergeCell ref="M43:P43"/>
    <mergeCell ref="M44:P44"/>
    <mergeCell ref="R60:T60"/>
    <mergeCell ref="A53:T53"/>
    <mergeCell ref="U49:V50"/>
    <mergeCell ref="B49:G50"/>
    <mergeCell ref="H49:M50"/>
    <mergeCell ref="N49:T50"/>
    <mergeCell ref="A49:A52"/>
    <mergeCell ref="U60:V60"/>
    <mergeCell ref="M56:N59"/>
    <mergeCell ref="O56:Q59"/>
    <mergeCell ref="R56:T59"/>
    <mergeCell ref="U56:V59"/>
    <mergeCell ref="M60:N60"/>
    <mergeCell ref="O60:Q60"/>
    <mergeCell ref="A56:L60"/>
    <mergeCell ref="A48:V48"/>
    <mergeCell ref="A47:T47"/>
    <mergeCell ref="B40:E40"/>
    <mergeCell ref="A46:T46"/>
    <mergeCell ref="B45:E45"/>
    <mergeCell ref="B43:E43"/>
    <mergeCell ref="B44:E44"/>
    <mergeCell ref="B41:E41"/>
    <mergeCell ref="B42:E42"/>
    <mergeCell ref="M40:P40"/>
    <mergeCell ref="M41:P41"/>
    <mergeCell ref="M42:P42"/>
    <mergeCell ref="M45:P45"/>
    <mergeCell ref="F40:I40"/>
    <mergeCell ref="F41:I41"/>
    <mergeCell ref="F42:I42"/>
    <mergeCell ref="A1:V1"/>
    <mergeCell ref="A37:T37"/>
    <mergeCell ref="U2:V3"/>
    <mergeCell ref="A38:V38"/>
    <mergeCell ref="A39:V39"/>
    <mergeCell ref="A2:A4"/>
    <mergeCell ref="B2:G3"/>
    <mergeCell ref="H2:M3"/>
    <mergeCell ref="N2:T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Смета</vt:lpstr>
    </vt:vector>
  </TitlesOfParts>
  <Company>Zvezda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2016-06-09T16:53:14Z</cp:lastPrinted>
  <dcterms:created xsi:type="dcterms:W3CDTF">2014-05-22T15:03:02Z</dcterms:created>
  <dcterms:modified xsi:type="dcterms:W3CDTF">2022-03-05T12:50:22Z</dcterms:modified>
</cp:coreProperties>
</file>